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DLMURCIA\Documents\CDLMURCIA\CONTABILIDAD\2024\"/>
    </mc:Choice>
  </mc:AlternateContent>
  <xr:revisionPtr revIDLastSave="0" documentId="13_ncr:1_{BB905F94-5CC3-47DA-8BC4-EFEAFEB6857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Mes" sheetId="5" r:id="rId1"/>
    <sheet name="Añ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D50" i="5"/>
  <c r="I3" i="5"/>
  <c r="I6" i="5"/>
  <c r="J139" i="5"/>
  <c r="D48" i="5"/>
  <c r="J132" i="5" l="1"/>
  <c r="J120" i="5"/>
  <c r="J119" i="5"/>
  <c r="J138" i="5" l="1"/>
  <c r="J143" i="5" l="1"/>
  <c r="D49" i="5"/>
  <c r="O55" i="2"/>
  <c r="N55" i="2"/>
  <c r="M55" i="2"/>
  <c r="L55" i="2"/>
  <c r="K55" i="2"/>
  <c r="J55" i="2"/>
  <c r="I55" i="2"/>
  <c r="H55" i="2"/>
  <c r="G55" i="2"/>
  <c r="F55" i="2"/>
  <c r="E55" i="2"/>
  <c r="D55" i="2"/>
  <c r="B55" i="2"/>
  <c r="C55" i="2"/>
  <c r="D43" i="5"/>
  <c r="J168" i="5" l="1"/>
  <c r="C3" i="5" s="1"/>
  <c r="D52" i="5"/>
  <c r="C2" i="5" s="1"/>
  <c r="D45" i="5"/>
  <c r="D44" i="5" s="1"/>
  <c r="J110" i="5"/>
  <c r="J118" i="5" s="1"/>
  <c r="J96" i="5"/>
  <c r="J95" i="5"/>
  <c r="J88" i="5"/>
  <c r="J79" i="5"/>
  <c r="J68" i="5"/>
  <c r="J78" i="5" s="1"/>
  <c r="J49" i="5"/>
  <c r="J59" i="5" s="1"/>
  <c r="D41" i="5"/>
  <c r="D42" i="5" s="1"/>
  <c r="D37" i="5"/>
  <c r="D40" i="5" s="1"/>
  <c r="J36" i="5"/>
  <c r="D34" i="5"/>
  <c r="D36" i="5" s="1"/>
  <c r="J33" i="5"/>
  <c r="D33" i="5"/>
  <c r="D31" i="5"/>
  <c r="D30" i="5"/>
  <c r="D29" i="5"/>
  <c r="D26" i="5"/>
  <c r="D28" i="5" s="1"/>
  <c r="D25" i="5"/>
  <c r="J22" i="5"/>
  <c r="D23" i="5"/>
  <c r="D22" i="5"/>
  <c r="J26" i="5"/>
  <c r="D21" i="5"/>
  <c r="D19" i="5"/>
  <c r="D16" i="5"/>
  <c r="D15" i="5"/>
  <c r="J13" i="5"/>
  <c r="D13" i="5"/>
  <c r="J12" i="5"/>
  <c r="J11" i="5"/>
  <c r="D11" i="5"/>
  <c r="J94" i="5" l="1"/>
  <c r="D47" i="5"/>
  <c r="J20" i="5"/>
  <c r="D32" i="5"/>
  <c r="D14" i="5"/>
  <c r="D18" i="5"/>
  <c r="J31" i="5"/>
  <c r="D24" i="5"/>
  <c r="J109" i="5"/>
  <c r="J45" i="5"/>
  <c r="N20" i="2"/>
  <c r="M20" i="2"/>
  <c r="K20" i="2"/>
  <c r="J20" i="2"/>
  <c r="I20" i="2"/>
  <c r="C4" i="5" l="1"/>
  <c r="C5" i="5" s="1"/>
  <c r="H20" i="2"/>
  <c r="G20" i="2"/>
  <c r="G12" i="2"/>
  <c r="G11" i="2"/>
  <c r="G49" i="2" l="1"/>
  <c r="F20" i="2" l="1"/>
  <c r="O19" i="2"/>
  <c r="E20" i="2"/>
  <c r="D20" i="2"/>
  <c r="C20" i="2"/>
  <c r="B20" i="2"/>
  <c r="N96" i="2" l="1"/>
  <c r="M96" i="2"/>
  <c r="L96" i="2"/>
  <c r="K96" i="2"/>
  <c r="J96" i="2"/>
  <c r="I96" i="2"/>
  <c r="H96" i="2"/>
  <c r="G96" i="2"/>
  <c r="F96" i="2"/>
  <c r="E96" i="2"/>
  <c r="D96" i="2"/>
  <c r="C96" i="2"/>
  <c r="B96" i="2"/>
  <c r="O95" i="2"/>
  <c r="O94" i="2"/>
  <c r="O93" i="2"/>
  <c r="O92" i="2"/>
  <c r="O91" i="2"/>
  <c r="O90" i="2"/>
  <c r="O89" i="2"/>
  <c r="O88" i="2"/>
  <c r="O87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O84" i="2"/>
  <c r="O83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O80" i="2"/>
  <c r="O79" i="2"/>
  <c r="O78" i="2"/>
  <c r="O77" i="2"/>
  <c r="O76" i="2"/>
  <c r="O75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O72" i="2"/>
  <c r="O71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O68" i="2"/>
  <c r="O67" i="2"/>
  <c r="O66" i="2"/>
  <c r="O65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O62" i="2"/>
  <c r="O61" i="2"/>
  <c r="O60" i="2"/>
  <c r="O59" i="2"/>
  <c r="O58" i="2"/>
  <c r="O57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O49" i="2"/>
  <c r="O48" i="2"/>
  <c r="O47" i="2"/>
  <c r="O46" i="2"/>
  <c r="O45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O42" i="2"/>
  <c r="O41" i="2"/>
  <c r="O40" i="2"/>
  <c r="O39" i="2"/>
  <c r="O38" i="2"/>
  <c r="O37" i="2"/>
  <c r="O85" i="2" l="1"/>
  <c r="O96" i="2"/>
  <c r="O50" i="2"/>
  <c r="C97" i="2"/>
  <c r="G97" i="2"/>
  <c r="K97" i="2"/>
  <c r="O43" i="2"/>
  <c r="D97" i="2"/>
  <c r="H97" i="2"/>
  <c r="L97" i="2"/>
  <c r="O69" i="2"/>
  <c r="O73" i="2"/>
  <c r="F97" i="2"/>
  <c r="J97" i="2"/>
  <c r="N97" i="2"/>
  <c r="E97" i="2"/>
  <c r="I97" i="2"/>
  <c r="M97" i="2"/>
  <c r="O63" i="2"/>
  <c r="O81" i="2"/>
  <c r="B97" i="2"/>
  <c r="O97" i="2" l="1"/>
  <c r="C13" i="2" l="1"/>
  <c r="D13" i="2" l="1"/>
  <c r="N13" i="2" l="1"/>
  <c r="M13" i="2"/>
  <c r="L13" i="2"/>
  <c r="K13" i="2"/>
  <c r="J13" i="2"/>
  <c r="I13" i="2"/>
  <c r="H13" i="2"/>
  <c r="G13" i="2"/>
  <c r="F13" i="2"/>
  <c r="E13" i="2"/>
  <c r="B31" i="2" l="1"/>
  <c r="B23" i="2"/>
  <c r="B16" i="2"/>
  <c r="B13" i="2"/>
  <c r="B9" i="2"/>
  <c r="B32" i="2" l="1"/>
  <c r="C31" i="2" l="1"/>
  <c r="C9" i="2"/>
  <c r="N31" i="2"/>
  <c r="M31" i="2"/>
  <c r="L31" i="2"/>
  <c r="K31" i="2"/>
  <c r="J31" i="2"/>
  <c r="I31" i="2"/>
  <c r="H31" i="2"/>
  <c r="G31" i="2"/>
  <c r="F31" i="2"/>
  <c r="E31" i="2"/>
  <c r="D31" i="2"/>
  <c r="O30" i="2"/>
  <c r="O29" i="2"/>
  <c r="O28" i="2"/>
  <c r="O27" i="2"/>
  <c r="O26" i="2"/>
  <c r="O25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O18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O11" i="2"/>
  <c r="N9" i="2"/>
  <c r="M9" i="2"/>
  <c r="L9" i="2"/>
  <c r="K9" i="2"/>
  <c r="J9" i="2"/>
  <c r="I9" i="2"/>
  <c r="H9" i="2"/>
  <c r="G9" i="2"/>
  <c r="F9" i="2"/>
  <c r="E9" i="2"/>
  <c r="D9" i="2"/>
  <c r="O8" i="2"/>
  <c r="O7" i="2"/>
  <c r="O20" i="2" l="1"/>
  <c r="O9" i="2"/>
  <c r="O6" i="2"/>
  <c r="O12" i="2"/>
  <c r="O16" i="2"/>
  <c r="O23" i="2"/>
  <c r="D32" i="2"/>
  <c r="H32" i="2"/>
  <c r="L32" i="2"/>
  <c r="E32" i="2"/>
  <c r="I32" i="2"/>
  <c r="M32" i="2"/>
  <c r="F32" i="2"/>
  <c r="J32" i="2"/>
  <c r="N32" i="2"/>
  <c r="G32" i="2"/>
  <c r="K32" i="2"/>
  <c r="O13" i="2"/>
  <c r="O31" i="2"/>
  <c r="C32" i="2"/>
  <c r="O32" i="2" l="1"/>
</calcChain>
</file>

<file path=xl/sharedStrings.xml><?xml version="1.0" encoding="utf-8"?>
<sst xmlns="http://schemas.openxmlformats.org/spreadsheetml/2006/main" count="490" uniqueCount="302">
  <si>
    <t>Rcbo Edif. Saorin</t>
  </si>
  <si>
    <t>Seguros Sociales</t>
  </si>
  <si>
    <t>Presupuesto</t>
  </si>
  <si>
    <t>TOTAL</t>
  </si>
  <si>
    <t xml:space="preserve"> </t>
  </si>
  <si>
    <t>712. Cuotas no bancario</t>
  </si>
  <si>
    <t>721. Nuevas colegiaciones</t>
  </si>
  <si>
    <t>731. Certificaciones y traslado</t>
  </si>
  <si>
    <t>751. Intereses Bancarios</t>
  </si>
  <si>
    <t>763. Cuota extraordinaria(cena)</t>
  </si>
  <si>
    <t>764. Devolución Loteria</t>
  </si>
  <si>
    <t>766. Devoluciones</t>
  </si>
  <si>
    <t>710.Capítulo I: Cuotas</t>
  </si>
  <si>
    <t>740. Capítulo IV: Cursos</t>
  </si>
  <si>
    <t>760.Capítulo VI: Otros</t>
  </si>
  <si>
    <t>611. Nómina administrativa</t>
  </si>
  <si>
    <t>612. Seguros sociales</t>
  </si>
  <si>
    <t>614. Asesor laboral</t>
  </si>
  <si>
    <t>624. Comunidad Propietarios</t>
  </si>
  <si>
    <t>641. Máquina fotocopiadora</t>
  </si>
  <si>
    <t>643. Franqueos</t>
  </si>
  <si>
    <t>645. Revista mensual</t>
  </si>
  <si>
    <t>646.Generales</t>
  </si>
  <si>
    <t>652. Festividad Inmaculada</t>
  </si>
  <si>
    <t>653. Felicitaciones Navidad</t>
  </si>
  <si>
    <t>654. Loteria Navidad</t>
  </si>
  <si>
    <t>661. Gastos corporativos</t>
  </si>
  <si>
    <t>671. Consejo general</t>
  </si>
  <si>
    <t>672. Premio Didáctico</t>
  </si>
  <si>
    <t>672. Becas-Cursillos</t>
  </si>
  <si>
    <t>673. Premio Literario-Relatos</t>
  </si>
  <si>
    <t>680. CAPITULO VIII: LOCAL</t>
  </si>
  <si>
    <t>691. Recibos Impagados</t>
  </si>
  <si>
    <t>693. Representación</t>
  </si>
  <si>
    <t>696. Imprevistos</t>
  </si>
  <si>
    <t>697. Pago loteria</t>
  </si>
  <si>
    <t>610. Capítulo I: Personal</t>
  </si>
  <si>
    <t>620. Capítulo II: Servicios</t>
  </si>
  <si>
    <t>630. Capítulo III: Cursos</t>
  </si>
  <si>
    <t xml:space="preserve">640. Capítulo IV: Material </t>
  </si>
  <si>
    <t>650. Capítulo V: G. Sociales</t>
  </si>
  <si>
    <t>670. Capítulo VI: J. General</t>
  </si>
  <si>
    <t xml:space="preserve">690. Capítulo IX: Varios </t>
  </si>
  <si>
    <t>660. Capítulo VI: Represen.</t>
  </si>
  <si>
    <t>TOTAL PARCIAL</t>
  </si>
  <si>
    <t>662. Desplazamientos Junta</t>
  </si>
  <si>
    <t>TOTAL INGRESOS</t>
  </si>
  <si>
    <t>TOTAL GASTOS</t>
  </si>
  <si>
    <t>682. Ayuntamiento</t>
  </si>
  <si>
    <t>642. Imprenta y papelería</t>
  </si>
  <si>
    <t>692. Comisiones+ Aval Bancario</t>
  </si>
  <si>
    <t>722. Cuotas nuevas colegiaciones</t>
  </si>
  <si>
    <t>622. Electricidad</t>
  </si>
  <si>
    <t>615. I.R.P.F.</t>
  </si>
  <si>
    <t>621. Limpieza</t>
  </si>
  <si>
    <t>623. Telecomunicaciones</t>
  </si>
  <si>
    <t>Total Ingresos Arrastrados</t>
  </si>
  <si>
    <t>Total Gastos Arrastrados</t>
  </si>
  <si>
    <t>761. Saldo año ejercicio anterior</t>
  </si>
  <si>
    <t>711. Cuotas ejercicio actual banco</t>
  </si>
  <si>
    <t>762. Donativos y transferencias</t>
  </si>
  <si>
    <t>765. Traslado banco a caja</t>
  </si>
  <si>
    <t>695. Banco a Caja</t>
  </si>
  <si>
    <t>720. Capítulo II: Colegiación</t>
  </si>
  <si>
    <t>730. Capítulo III: Certficación</t>
  </si>
  <si>
    <t>750.Capítulo V: Intereses</t>
  </si>
  <si>
    <t>713. Cuotas ejercicio anterior</t>
  </si>
  <si>
    <t>631. Formación</t>
  </si>
  <si>
    <t>644. Transportes</t>
  </si>
  <si>
    <t>651. Festividad Santo Tomás</t>
  </si>
  <si>
    <t>674. Seguros</t>
  </si>
  <si>
    <t>681. Mejora Local</t>
  </si>
  <si>
    <t>694. Déficit ejercicio anterior</t>
  </si>
  <si>
    <t>698. Ordenador e Impresora</t>
  </si>
  <si>
    <t xml:space="preserve">699. Insignia + cena de Colegiado </t>
  </si>
  <si>
    <t>613. Asesor juríd.- Prev. Laboral</t>
  </si>
  <si>
    <t>CAJA COLEGIO</t>
  </si>
  <si>
    <t>675. Protección de Datos</t>
  </si>
  <si>
    <t>616. Prevención Riesgos Laborales</t>
  </si>
  <si>
    <t>BANCO SABADELL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</si>
  <si>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</si>
  <si>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</si>
  <si>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</si>
  <si>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</si>
  <si>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</si>
  <si>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</si>
  <si>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</si>
  <si>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</si>
  <si>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</si>
  <si>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</si>
  <si>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</si>
  <si>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</si>
  <si>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Asesoría Párraga</t>
  </si>
  <si>
    <t>Iberdrola</t>
  </si>
  <si>
    <t>CAIXABANK</t>
  </si>
  <si>
    <t>Comisiones + IVA</t>
  </si>
  <si>
    <t>INGRESOS 2024</t>
  </si>
  <si>
    <t>GASTOS 2024</t>
  </si>
  <si>
    <t>625. Espacio Web y Dominios</t>
  </si>
  <si>
    <t>Cursos de Arqueología</t>
  </si>
  <si>
    <t>742. Arqueología</t>
  </si>
  <si>
    <t>741. Educación</t>
  </si>
  <si>
    <t>ARSYS - Espacio WEB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</si>
  <si>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</si>
  <si>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</si>
  <si>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</si>
  <si>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</si>
  <si>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</si>
  <si>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</si>
  <si>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</si>
  <si>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</si>
  <si>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</si>
  <si>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</si>
  <si>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</si>
  <si>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</si>
  <si>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</si>
  <si>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</si>
  <si>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</si>
  <si>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</si>
  <si>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</si>
  <si>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</si>
  <si>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</si>
  <si>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</si>
  <si>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</si>
  <si>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</si>
  <si>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</si>
  <si>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</si>
  <si>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</si>
  <si>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</si>
  <si>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</si>
  <si>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</si>
  <si>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</si>
  <si>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</si>
  <si>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</si>
  <si>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</si>
  <si>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</si>
  <si>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</si>
  <si>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</si>
  <si>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</si>
  <si>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</si>
  <si>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000</t>
  </si>
  <si>
    <t>Telefonía - O2</t>
  </si>
  <si>
    <t>=30€x13(Normales)+20€x7(desempleados)</t>
  </si>
  <si>
    <t>Normales=35€x3+28€x2+21x1+7x3. Desempleados=9€x1+7,5€x1+6€x2+4,5x1+3x2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</si>
  <si>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</si>
  <si>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</si>
  <si>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</si>
  <si>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</si>
  <si>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</si>
  <si>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</si>
  <si>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</si>
  <si>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</si>
  <si>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</si>
  <si>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</si>
  <si>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NºFra</t>
  </si>
  <si>
    <t>048</t>
  </si>
  <si>
    <t>049</t>
  </si>
  <si>
    <t>050</t>
  </si>
  <si>
    <t>051</t>
  </si>
  <si>
    <t>052</t>
  </si>
  <si>
    <t>055</t>
  </si>
  <si>
    <t>053</t>
  </si>
  <si>
    <t>054</t>
  </si>
  <si>
    <t>Nómina Administrativo Agosto 2024</t>
  </si>
  <si>
    <t>056</t>
  </si>
  <si>
    <t>057</t>
  </si>
  <si>
    <t>058</t>
  </si>
  <si>
    <t>059</t>
  </si>
  <si>
    <t>INGRESOS Y GASTOS ARRASTRADOS</t>
  </si>
  <si>
    <t>DITRIBUCIÓN TESORERÍA</t>
  </si>
  <si>
    <t>DIFERENCIA:</t>
  </si>
  <si>
    <t>TOTAL:</t>
  </si>
  <si>
    <t>Limpieza Local Enero</t>
  </si>
  <si>
    <t>Cuota Colegiados Primer Semestre 2024</t>
  </si>
  <si>
    <t>2 Nuevas Colegiaciones</t>
  </si>
  <si>
    <t>Curso Formación del Profesorado</t>
  </si>
  <si>
    <t>Recibos Impagados</t>
  </si>
  <si>
    <t xml:space="preserve">TOTAL ENERO: </t>
  </si>
  <si>
    <t>Recibo Orange</t>
  </si>
  <si>
    <t>Reemisión Cuotas Primer Semestre 2024</t>
  </si>
  <si>
    <t>Teléfono fijo</t>
  </si>
  <si>
    <t>1 Nueva Colegiación</t>
  </si>
  <si>
    <t>Nómina Administrativo Enero 2024</t>
  </si>
  <si>
    <t xml:space="preserve">TOTAL FEBRERO: </t>
  </si>
  <si>
    <t>Devolución PSN - Seguro Accidentes</t>
  </si>
  <si>
    <t>TOTAL ENERO:</t>
  </si>
  <si>
    <t>7 Nuevas Colegiaciones</t>
  </si>
  <si>
    <t xml:space="preserve">TOTAL MARZO: </t>
  </si>
  <si>
    <t>Telefonía Orange</t>
  </si>
  <si>
    <t>Cartucho Tinta Impresora</t>
  </si>
  <si>
    <t xml:space="preserve">TOTAL ABRIL: </t>
  </si>
  <si>
    <t>Nómina Administrativo Febrero 2024</t>
  </si>
  <si>
    <t>5 Nuevas Colegiaciones</t>
  </si>
  <si>
    <t>TOTAL FEBRERO:</t>
  </si>
  <si>
    <t xml:space="preserve">TOTAL MAYO: </t>
  </si>
  <si>
    <t>Limpieza Local Marzo</t>
  </si>
  <si>
    <t>Telefonía</t>
  </si>
  <si>
    <t xml:space="preserve">TOTAL JUNIO: </t>
  </si>
  <si>
    <t>Dominios cdlmurcia.org</t>
  </si>
  <si>
    <t>Dominios cdlmurcia.net</t>
  </si>
  <si>
    <t>Devolución Seguro de Accidentes PSN</t>
  </si>
  <si>
    <t>Material de Oficina/Limpieza</t>
  </si>
  <si>
    <t xml:space="preserve">TOTAL JULIO: </t>
  </si>
  <si>
    <t>PSN - Seguro de Accidentes</t>
  </si>
  <si>
    <t>Nómina Administrativo Marzo 2024</t>
  </si>
  <si>
    <t xml:space="preserve">TOTAL AGOSTO: </t>
  </si>
  <si>
    <t>Contratación ISBN</t>
  </si>
  <si>
    <t>TOTAL MARZO:</t>
  </si>
  <si>
    <t>3 cartuchos color tinta impresora</t>
  </si>
  <si>
    <t>Traslado de Dominio cdlmurcia.org</t>
  </si>
  <si>
    <t>Agua Ponentes Congreso Arqueología</t>
  </si>
  <si>
    <t>Consejo General Primer Semestre</t>
  </si>
  <si>
    <t>Traslado de Dominio cdlmurcia.net</t>
  </si>
  <si>
    <t>Cambio Registrador cdlmurcia.es</t>
  </si>
  <si>
    <t>Nómina Administrativo Abril 2024</t>
  </si>
  <si>
    <t>TOTAL ABRIL:</t>
  </si>
  <si>
    <t>Traslado Dominio cdlmurcia.es</t>
  </si>
  <si>
    <t>Cambio Registrador cdlmurcia.org</t>
  </si>
  <si>
    <t>Cambio Registrador cdlmurcia.net</t>
  </si>
  <si>
    <t>Configuración Espacio Web</t>
  </si>
  <si>
    <t>IBI Ayuntamiento</t>
  </si>
  <si>
    <t>Limpieza Local Mayo</t>
  </si>
  <si>
    <t>Trasporte Tren Consejo General</t>
  </si>
  <si>
    <t>Pago Profesorado Cursos de Educación</t>
  </si>
  <si>
    <t>Jornadas Patrimonio 2024</t>
  </si>
  <si>
    <t>Nómina Administrativo Mayo 2024</t>
  </si>
  <si>
    <t>TOTAL MAYO:</t>
  </si>
  <si>
    <t>Limpieza Local Junio</t>
  </si>
  <si>
    <t>Tinta Viva - Material de Oficina</t>
  </si>
  <si>
    <t>ANTEA - Prevención Riesgos Laborales</t>
  </si>
  <si>
    <t>Nómina Administrativo Junio 2024</t>
  </si>
  <si>
    <t>PSN - Protección de Datos</t>
  </si>
  <si>
    <t>TOTAL JUNIO:</t>
  </si>
  <si>
    <t>ONET Limpieza Local Julio</t>
  </si>
  <si>
    <t>IRPF Profesorado Cursos Educación</t>
  </si>
  <si>
    <t>Nómina Administrativo Julio 2024</t>
  </si>
  <si>
    <t>TOTAL JULIO:</t>
  </si>
  <si>
    <t>TOTAL AGOSTO:</t>
  </si>
  <si>
    <t>Saldo a 31 de diciembre de 2023</t>
  </si>
  <si>
    <t>Fecha</t>
  </si>
  <si>
    <t>Concepto</t>
  </si>
  <si>
    <t>Asiento</t>
  </si>
  <si>
    <t>Importe</t>
  </si>
  <si>
    <t>TOTAL SEPTIEMBRE:</t>
  </si>
  <si>
    <t xml:space="preserve">TOTAL SEPTIEMBRE: </t>
  </si>
  <si>
    <t>Cuota Colegiados Segundo Semestre 2024</t>
  </si>
  <si>
    <t>3 Nuevas colegiaciones</t>
  </si>
  <si>
    <t>Reemisión Cuota Colegiados</t>
  </si>
  <si>
    <t>Devolución Cursos de Arqueología</t>
  </si>
  <si>
    <t>060</t>
  </si>
  <si>
    <t>061</t>
  </si>
  <si>
    <t>062</t>
  </si>
  <si>
    <t>Pago Profesorado Arqueología</t>
  </si>
  <si>
    <t>063</t>
  </si>
  <si>
    <t>064</t>
  </si>
  <si>
    <t>065</t>
  </si>
  <si>
    <t>066</t>
  </si>
  <si>
    <t>067</t>
  </si>
  <si>
    <t>068</t>
  </si>
  <si>
    <t>ONET Limpieza Local Agosto</t>
  </si>
  <si>
    <t>069</t>
  </si>
  <si>
    <t>070</t>
  </si>
  <si>
    <t>Nómina Administrativo Septiembre 2024</t>
  </si>
  <si>
    <t>071</t>
  </si>
  <si>
    <t>Cursos de Educación</t>
  </si>
  <si>
    <t>072</t>
  </si>
  <si>
    <t>632. IRPF Profesorado</t>
  </si>
  <si>
    <t xml:space="preserve">633. Devoluciones </t>
  </si>
  <si>
    <t xml:space="preserve">TOTAL OCTUBRE: </t>
  </si>
  <si>
    <t>Paypal Ingreso Inicial</t>
  </si>
  <si>
    <t>TOTAL OCTUBRE:</t>
  </si>
  <si>
    <t>4 Nuevas colegiaciones</t>
  </si>
  <si>
    <t>073</t>
  </si>
  <si>
    <t>074</t>
  </si>
  <si>
    <t>ONET Limpieza Local Septiembre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</si>
  <si>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</si>
  <si>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</si>
  <si>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</si>
  <si>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</si>
  <si>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</si>
  <si>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</si>
  <si>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</si>
  <si>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</si>
  <si>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</si>
  <si>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</si>
  <si>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</si>
  <si>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</si>
  <si>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</si>
  <si>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 xml:space="preserve">IRPF Profesorado </t>
  </si>
  <si>
    <t>Consejo General Segundo Semestre</t>
  </si>
  <si>
    <t>088</t>
  </si>
  <si>
    <t>ARSYS - Reparación Servidor WEB</t>
  </si>
  <si>
    <t>089</t>
  </si>
  <si>
    <t>090</t>
  </si>
  <si>
    <t>091</t>
  </si>
  <si>
    <t>092</t>
  </si>
  <si>
    <t>Renfe - Viaje Consejo General</t>
  </si>
  <si>
    <t>Rcbo Edif. Saorin - 2021/10/01</t>
  </si>
  <si>
    <t>Rcbo Edif Saorin</t>
  </si>
  <si>
    <t>093</t>
  </si>
  <si>
    <t>Nómina Administrativo Octubre 2024</t>
  </si>
  <si>
    <t>PAYPAL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</si>
</sst>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#,##0.00\ &quot;€&quot;"/>
    <numFmt numFmtId="166" formatCode="#,##0\ &quot;pta&quot;;\-#,##0\ &quot;pta&quot;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Tahoma"/>
      <family val="2"/>
    </font>
    <font>
      <sz val="7.5"/>
      <color theme="1"/>
      <name val="Calibri"/>
      <family val="2"/>
      <scheme val="minor"/>
    </font>
    <font>
      <b/>
      <sz val="10"/>
      <name val="Tahoma"/>
      <family val="2"/>
    </font>
    <font>
      <sz val="7"/>
      <color theme="1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b/>
      <sz val="7"/>
      <name val="Tahoma"/>
      <family val="2"/>
    </font>
    <font>
      <b/>
      <sz val="7"/>
      <color theme="1"/>
      <name val="Tahoma"/>
      <family val="2"/>
    </font>
    <font>
      <b/>
      <sz val="7"/>
      <color theme="0"/>
      <name val="Tahoma"/>
      <family val="2"/>
    </font>
    <font>
      <sz val="12"/>
      <name val="Tahoma"/>
      <family val="2"/>
    </font>
    <font>
      <sz val="7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65" fontId="4" fillId="0" borderId="0" xfId="1" applyNumberFormat="1" applyFont="1" applyBorder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0" fontId="7" fillId="0" borderId="0" xfId="0" applyFont="1"/>
    <xf numFmtId="165" fontId="7" fillId="0" borderId="0" xfId="0" applyNumberFormat="1" applyFont="1"/>
    <xf numFmtId="0" fontId="5" fillId="0" borderId="1" xfId="0" applyFont="1" applyBorder="1"/>
    <xf numFmtId="165" fontId="5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0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164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49" fontId="6" fillId="0" borderId="7" xfId="0" applyNumberFormat="1" applyFont="1" applyBorder="1"/>
    <xf numFmtId="14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0" fontId="5" fillId="0" borderId="0" xfId="0" applyFont="1"/>
    <xf numFmtId="165" fontId="5" fillId="0" borderId="0" xfId="0" applyNumberFormat="1" applyFont="1"/>
    <xf numFmtId="0" fontId="9" fillId="4" borderId="1" xfId="0" applyFont="1" applyFill="1" applyBorder="1" applyAlignment="1">
      <alignment horizontal="center"/>
    </xf>
    <xf numFmtId="0" fontId="5" fillId="5" borderId="7" xfId="0" applyFont="1" applyFill="1" applyBorder="1"/>
    <xf numFmtId="165" fontId="9" fillId="5" borderId="1" xfId="0" applyNumberFormat="1" applyFont="1" applyFill="1" applyBorder="1"/>
    <xf numFmtId="0" fontId="9" fillId="5" borderId="7" xfId="0" applyFont="1" applyFill="1" applyBorder="1"/>
    <xf numFmtId="0" fontId="9" fillId="5" borderId="9" xfId="0" applyFont="1" applyFill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/>
    <xf numFmtId="0" fontId="9" fillId="5" borderId="9" xfId="0" applyFont="1" applyFill="1" applyBorder="1" applyAlignment="1">
      <alignment horizontal="right"/>
    </xf>
    <xf numFmtId="0" fontId="9" fillId="5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794-7E59-441A-B113-FB514C42D800}">
  <dimension ref="A1:J168"/>
  <sheetViews>
    <sheetView tabSelected="1" zoomScale="160" zoomScaleNormal="160" workbookViewId="0">
      <selection activeCell="B7" sqref="B7"/>
    </sheetView>
  </sheetViews>
  <sheetFormatPr baseColWidth="10" defaultRowHeight="9" x14ac:dyDescent="0.15"/>
  <cols>
    <col min="1" max="1" width="7.5703125" style="51" bestFit="1" customWidth="1"/>
    <col min="2" max="2" width="25.85546875" style="51" bestFit="1" customWidth="1"/>
    <col min="3" max="3" width="8" style="51" bestFit="1" customWidth="1"/>
    <col min="4" max="4" width="9.42578125" style="51" customWidth="1"/>
    <col min="5" max="5" width="0.28515625" style="51" customWidth="1"/>
    <col min="6" max="6" width="7.5703125" style="51" bestFit="1" customWidth="1"/>
    <col min="7" max="7" width="4.7109375" style="51" customWidth="1"/>
    <col min="8" max="8" width="21.7109375" style="51" customWidth="1"/>
    <col min="9" max="9" width="8" style="51" bestFit="1" customWidth="1"/>
    <col min="10" max="10" width="8.42578125" style="51" bestFit="1" customWidth="1"/>
    <col min="11" max="11" width="11.42578125" style="51"/>
    <col min="12" max="12" width="30.42578125" style="51" bestFit="1" customWidth="1"/>
    <col min="13" max="16384" width="11.42578125" style="51"/>
  </cols>
  <sheetData>
    <row r="1" spans="1:10" x14ac:dyDescent="0.15">
      <c r="B1" s="64" t="s">
        <v>168</v>
      </c>
      <c r="C1" s="65"/>
      <c r="H1" s="66" t="s">
        <v>169</v>
      </c>
      <c r="I1" s="66"/>
    </row>
    <row r="2" spans="1:10" x14ac:dyDescent="0.15">
      <c r="B2" s="9" t="s">
        <v>56</v>
      </c>
      <c r="C2" s="10">
        <f>D2+D52</f>
        <v>58546.98</v>
      </c>
      <c r="D2" s="61">
        <v>54066.080000000002</v>
      </c>
      <c r="H2" s="9" t="s">
        <v>94</v>
      </c>
      <c r="I2" s="10">
        <v>21451.46</v>
      </c>
    </row>
    <row r="3" spans="1:10" x14ac:dyDescent="0.15">
      <c r="B3" s="9" t="s">
        <v>57</v>
      </c>
      <c r="C3" s="10">
        <f>D3+J168</f>
        <v>28507.489999999998</v>
      </c>
      <c r="D3" s="61">
        <v>21230.53</v>
      </c>
      <c r="H3" s="9" t="s">
        <v>79</v>
      </c>
      <c r="I3" s="10">
        <f>7477.97+900</f>
        <v>8377.9700000000012</v>
      </c>
    </row>
    <row r="4" spans="1:10" x14ac:dyDescent="0.15">
      <c r="B4" s="9" t="s">
        <v>170</v>
      </c>
      <c r="C4" s="10">
        <f>C2-C3</f>
        <v>30039.490000000005</v>
      </c>
      <c r="H4" s="9" t="s">
        <v>76</v>
      </c>
      <c r="I4" s="10">
        <v>9.06</v>
      </c>
    </row>
    <row r="5" spans="1:10" x14ac:dyDescent="0.15">
      <c r="C5" s="52">
        <f>C4-I6</f>
        <v>0</v>
      </c>
      <c r="H5" s="9" t="s">
        <v>301</v>
      </c>
      <c r="I5" s="10">
        <v>201</v>
      </c>
    </row>
    <row r="6" spans="1:10" x14ac:dyDescent="0.15">
      <c r="C6" s="52"/>
      <c r="H6" s="9" t="s">
        <v>171</v>
      </c>
      <c r="I6" s="10">
        <f>SUM(I2:I5)</f>
        <v>30039.49</v>
      </c>
    </row>
    <row r="7" spans="1:10" x14ac:dyDescent="0.15">
      <c r="C7" s="52"/>
      <c r="I7" s="52"/>
    </row>
    <row r="8" spans="1:10" x14ac:dyDescent="0.15">
      <c r="A8" s="67" t="s">
        <v>96</v>
      </c>
      <c r="B8" s="68"/>
      <c r="C8" s="68"/>
      <c r="D8" s="69"/>
      <c r="F8" s="70" t="s">
        <v>97</v>
      </c>
      <c r="G8" s="70"/>
      <c r="H8" s="70"/>
      <c r="I8" s="70"/>
      <c r="J8" s="70"/>
    </row>
    <row r="9" spans="1:10" x14ac:dyDescent="0.15">
      <c r="A9" s="53" t="s">
        <v>239</v>
      </c>
      <c r="B9" s="53" t="s">
        <v>240</v>
      </c>
      <c r="C9" s="53" t="s">
        <v>241</v>
      </c>
      <c r="D9" s="53" t="s">
        <v>242</v>
      </c>
      <c r="F9" s="53" t="s">
        <v>239</v>
      </c>
      <c r="G9" s="53" t="s">
        <v>154</v>
      </c>
      <c r="H9" s="53" t="s">
        <v>240</v>
      </c>
      <c r="I9" s="53" t="s">
        <v>241</v>
      </c>
      <c r="J9" s="53" t="s">
        <v>242</v>
      </c>
    </row>
    <row r="10" spans="1:10" x14ac:dyDescent="0.15">
      <c r="A10" s="48">
        <v>45292</v>
      </c>
      <c r="B10" s="9" t="s">
        <v>238</v>
      </c>
      <c r="C10" s="12">
        <v>740</v>
      </c>
      <c r="D10" s="18">
        <v>10210.99</v>
      </c>
      <c r="F10" s="48">
        <v>45293</v>
      </c>
      <c r="G10" s="49" t="s">
        <v>140</v>
      </c>
      <c r="H10" s="17" t="s">
        <v>172</v>
      </c>
      <c r="I10" s="12">
        <v>620</v>
      </c>
      <c r="J10" s="50">
        <v>56.87</v>
      </c>
    </row>
    <row r="11" spans="1:10" x14ac:dyDescent="0.15">
      <c r="A11" s="48">
        <v>45299</v>
      </c>
      <c r="B11" s="9" t="s">
        <v>173</v>
      </c>
      <c r="C11" s="12">
        <v>710</v>
      </c>
      <c r="D11" s="18">
        <f>9710-130</f>
        <v>9580</v>
      </c>
      <c r="F11" s="48">
        <v>45294</v>
      </c>
      <c r="G11" s="49"/>
      <c r="H11" s="17" t="s">
        <v>0</v>
      </c>
      <c r="I11" s="12">
        <v>620</v>
      </c>
      <c r="J11" s="50">
        <f>49.81+47.04</f>
        <v>96.85</v>
      </c>
    </row>
    <row r="12" spans="1:10" x14ac:dyDescent="0.15">
      <c r="A12" s="48">
        <v>45299</v>
      </c>
      <c r="B12" s="17" t="s">
        <v>174</v>
      </c>
      <c r="C12" s="12">
        <v>720</v>
      </c>
      <c r="D12" s="50">
        <v>130</v>
      </c>
      <c r="F12" s="48">
        <v>45299</v>
      </c>
      <c r="G12" s="49"/>
      <c r="H12" s="17" t="s">
        <v>95</v>
      </c>
      <c r="I12" s="12">
        <v>690</v>
      </c>
      <c r="J12" s="50">
        <f>15+90.6+19.03+2+0.42+3+0.63+16+3.36+5+1.05+2+0.42+1+0.21+2.75</f>
        <v>162.47000000000003</v>
      </c>
    </row>
    <row r="13" spans="1:10" x14ac:dyDescent="0.15">
      <c r="A13" s="48">
        <v>45302</v>
      </c>
      <c r="B13" s="9" t="s">
        <v>175</v>
      </c>
      <c r="C13" s="12">
        <v>740</v>
      </c>
      <c r="D13" s="18">
        <f>25*5+23*25</f>
        <v>700</v>
      </c>
      <c r="F13" s="48">
        <v>45299</v>
      </c>
      <c r="G13" s="49"/>
      <c r="H13" s="17" t="s">
        <v>176</v>
      </c>
      <c r="I13" s="12">
        <v>690</v>
      </c>
      <c r="J13" s="50">
        <f>70+79+531+149+44+35</f>
        <v>908</v>
      </c>
    </row>
    <row r="14" spans="1:10" x14ac:dyDescent="0.15">
      <c r="A14" s="54"/>
      <c r="B14" s="62" t="s">
        <v>177</v>
      </c>
      <c r="C14" s="62"/>
      <c r="D14" s="55">
        <f>SUM(D10:D13)</f>
        <v>20620.989999999998</v>
      </c>
      <c r="F14" s="48">
        <v>45308</v>
      </c>
      <c r="G14" s="49" t="s">
        <v>103</v>
      </c>
      <c r="H14" s="17" t="s">
        <v>93</v>
      </c>
      <c r="I14" s="12">
        <v>620</v>
      </c>
      <c r="J14" s="50">
        <v>16.45</v>
      </c>
    </row>
    <row r="15" spans="1:10" x14ac:dyDescent="0.15">
      <c r="A15" s="48">
        <v>45324</v>
      </c>
      <c r="B15" s="9" t="s">
        <v>175</v>
      </c>
      <c r="C15" s="12">
        <v>740</v>
      </c>
      <c r="D15" s="18">
        <f>25*8+25</f>
        <v>225</v>
      </c>
      <c r="F15" s="48">
        <v>45311</v>
      </c>
      <c r="G15" s="49" t="s">
        <v>104</v>
      </c>
      <c r="H15" s="17" t="s">
        <v>178</v>
      </c>
      <c r="I15" s="12">
        <v>620</v>
      </c>
      <c r="J15" s="50">
        <v>61.04</v>
      </c>
    </row>
    <row r="16" spans="1:10" x14ac:dyDescent="0.15">
      <c r="A16" s="48">
        <v>45327</v>
      </c>
      <c r="B16" s="9" t="s">
        <v>179</v>
      </c>
      <c r="C16" s="12">
        <v>740</v>
      </c>
      <c r="D16" s="18">
        <f>316-65</f>
        <v>251</v>
      </c>
      <c r="F16" s="48">
        <v>45316</v>
      </c>
      <c r="G16" s="49" t="s">
        <v>105</v>
      </c>
      <c r="H16" s="17" t="s">
        <v>180</v>
      </c>
      <c r="I16" s="12">
        <v>690</v>
      </c>
      <c r="J16" s="50">
        <v>19.5</v>
      </c>
    </row>
    <row r="17" spans="1:10" x14ac:dyDescent="0.15">
      <c r="A17" s="48">
        <v>45327</v>
      </c>
      <c r="B17" s="17" t="s">
        <v>181</v>
      </c>
      <c r="C17" s="12">
        <v>720</v>
      </c>
      <c r="D17" s="50">
        <v>65</v>
      </c>
      <c r="F17" s="48">
        <v>45316</v>
      </c>
      <c r="G17" s="49"/>
      <c r="H17" s="17" t="s">
        <v>182</v>
      </c>
      <c r="I17" s="12">
        <v>610</v>
      </c>
      <c r="J17" s="50">
        <v>658.59</v>
      </c>
    </row>
    <row r="18" spans="1:10" x14ac:dyDescent="0.15">
      <c r="A18" s="54"/>
      <c r="B18" s="62" t="s">
        <v>183</v>
      </c>
      <c r="C18" s="62"/>
      <c r="D18" s="55">
        <f>SUM(D15:D17)</f>
        <v>541</v>
      </c>
      <c r="F18" s="48">
        <v>45322</v>
      </c>
      <c r="G18" s="49" t="s">
        <v>106</v>
      </c>
      <c r="H18" s="17" t="s">
        <v>92</v>
      </c>
      <c r="I18" s="12">
        <v>610</v>
      </c>
      <c r="J18" s="50">
        <v>43.86</v>
      </c>
    </row>
    <row r="19" spans="1:10" x14ac:dyDescent="0.15">
      <c r="A19" s="48">
        <v>45355</v>
      </c>
      <c r="B19" s="9" t="s">
        <v>175</v>
      </c>
      <c r="C19" s="12">
        <v>740</v>
      </c>
      <c r="D19" s="18">
        <f>25*14</f>
        <v>350</v>
      </c>
      <c r="F19" s="48">
        <v>45322</v>
      </c>
      <c r="G19" s="49"/>
      <c r="H19" s="9" t="s">
        <v>1</v>
      </c>
      <c r="I19" s="12">
        <v>610</v>
      </c>
      <c r="J19" s="50">
        <v>270.02999999999997</v>
      </c>
    </row>
    <row r="20" spans="1:10" x14ac:dyDescent="0.15">
      <c r="A20" s="48">
        <v>45372</v>
      </c>
      <c r="B20" s="9" t="s">
        <v>184</v>
      </c>
      <c r="C20" s="12">
        <v>740</v>
      </c>
      <c r="D20" s="18">
        <v>1.57</v>
      </c>
      <c r="F20" s="56"/>
      <c r="G20" s="57"/>
      <c r="H20" s="62" t="s">
        <v>185</v>
      </c>
      <c r="I20" s="63"/>
      <c r="J20" s="55">
        <f>SUM(J10:J19)</f>
        <v>2293.66</v>
      </c>
    </row>
    <row r="21" spans="1:10" x14ac:dyDescent="0.15">
      <c r="A21" s="48">
        <v>45373</v>
      </c>
      <c r="B21" s="9" t="s">
        <v>179</v>
      </c>
      <c r="C21" s="12">
        <v>740</v>
      </c>
      <c r="D21" s="18">
        <f>35*4</f>
        <v>140</v>
      </c>
      <c r="F21" s="48">
        <v>45323</v>
      </c>
      <c r="G21" s="49" t="s">
        <v>107</v>
      </c>
      <c r="H21" s="17" t="s">
        <v>172</v>
      </c>
      <c r="I21" s="12">
        <v>620</v>
      </c>
      <c r="J21" s="50">
        <v>56.87</v>
      </c>
    </row>
    <row r="22" spans="1:10" x14ac:dyDescent="0.15">
      <c r="A22" s="48">
        <v>45373</v>
      </c>
      <c r="B22" s="17" t="s">
        <v>186</v>
      </c>
      <c r="C22" s="12">
        <v>720</v>
      </c>
      <c r="D22" s="50">
        <f>415.5-140</f>
        <v>275.5</v>
      </c>
      <c r="F22" s="48">
        <v>45324</v>
      </c>
      <c r="G22" s="49"/>
      <c r="H22" s="17" t="s">
        <v>0</v>
      </c>
      <c r="I22" s="12">
        <v>620</v>
      </c>
      <c r="J22" s="50">
        <f>49.81</f>
        <v>49.81</v>
      </c>
    </row>
    <row r="23" spans="1:10" x14ac:dyDescent="0.15">
      <c r="A23" s="48">
        <v>45377</v>
      </c>
      <c r="B23" s="9" t="s">
        <v>99</v>
      </c>
      <c r="C23" s="12">
        <v>740</v>
      </c>
      <c r="D23" s="18">
        <f>6*100+300</f>
        <v>900</v>
      </c>
      <c r="F23" s="48">
        <v>45328</v>
      </c>
      <c r="G23" s="49"/>
      <c r="H23" s="17" t="s">
        <v>176</v>
      </c>
      <c r="I23" s="12">
        <v>690</v>
      </c>
      <c r="J23" s="50">
        <v>70</v>
      </c>
    </row>
    <row r="24" spans="1:10" x14ac:dyDescent="0.15">
      <c r="A24" s="54"/>
      <c r="B24" s="62" t="s">
        <v>187</v>
      </c>
      <c r="C24" s="62"/>
      <c r="D24" s="55">
        <f>SUM(D19:D23)</f>
        <v>1667.07</v>
      </c>
      <c r="F24" s="48">
        <v>45331</v>
      </c>
      <c r="G24" s="49" t="s">
        <v>110</v>
      </c>
      <c r="H24" s="17" t="s">
        <v>189</v>
      </c>
      <c r="I24" s="12">
        <v>640</v>
      </c>
      <c r="J24" s="50">
        <v>20.95</v>
      </c>
    </row>
    <row r="25" spans="1:10" x14ac:dyDescent="0.15">
      <c r="A25" s="48">
        <v>45385</v>
      </c>
      <c r="B25" s="9" t="s">
        <v>99</v>
      </c>
      <c r="C25" s="12">
        <v>740</v>
      </c>
      <c r="D25" s="18">
        <f>20*4+100*17+10*2</f>
        <v>1800</v>
      </c>
      <c r="F25" s="48">
        <v>45337</v>
      </c>
      <c r="G25" s="49" t="s">
        <v>108</v>
      </c>
      <c r="H25" s="17" t="s">
        <v>93</v>
      </c>
      <c r="I25" s="12">
        <v>620</v>
      </c>
      <c r="J25" s="50">
        <v>16.3</v>
      </c>
    </row>
    <row r="26" spans="1:10" x14ac:dyDescent="0.15">
      <c r="A26" s="48">
        <v>45406</v>
      </c>
      <c r="B26" s="9" t="s">
        <v>175</v>
      </c>
      <c r="C26" s="12">
        <v>740</v>
      </c>
      <c r="D26" s="18">
        <f>25*5</f>
        <v>125</v>
      </c>
      <c r="F26" s="48">
        <v>45339</v>
      </c>
      <c r="G26" s="49"/>
      <c r="H26" s="17" t="s">
        <v>95</v>
      </c>
      <c r="I26" s="12">
        <v>690</v>
      </c>
      <c r="J26" s="50">
        <f>2.75+2.7+0.57+1+0.21+1+0.21</f>
        <v>8.4400000000000013</v>
      </c>
    </row>
    <row r="27" spans="1:10" x14ac:dyDescent="0.15">
      <c r="A27" s="48">
        <v>45398</v>
      </c>
      <c r="B27" s="17" t="s">
        <v>174</v>
      </c>
      <c r="C27" s="12">
        <v>720</v>
      </c>
      <c r="D27" s="50">
        <v>95</v>
      </c>
      <c r="F27" s="48">
        <v>45343</v>
      </c>
      <c r="G27" s="49" t="s">
        <v>109</v>
      </c>
      <c r="H27" s="17" t="s">
        <v>188</v>
      </c>
      <c r="I27" s="12">
        <v>620</v>
      </c>
      <c r="J27" s="50">
        <v>50.6</v>
      </c>
    </row>
    <row r="28" spans="1:10" x14ac:dyDescent="0.15">
      <c r="A28" s="54"/>
      <c r="B28" s="62" t="s">
        <v>190</v>
      </c>
      <c r="C28" s="62"/>
      <c r="D28" s="55">
        <f>SUM(D26:D27)</f>
        <v>220</v>
      </c>
      <c r="F28" s="48">
        <v>45349</v>
      </c>
      <c r="G28" s="49"/>
      <c r="H28" s="17" t="s">
        <v>191</v>
      </c>
      <c r="I28" s="12">
        <v>610</v>
      </c>
      <c r="J28" s="50">
        <v>658.6</v>
      </c>
    </row>
    <row r="29" spans="1:10" x14ac:dyDescent="0.15">
      <c r="A29" s="48">
        <v>45415</v>
      </c>
      <c r="B29" s="9" t="s">
        <v>99</v>
      </c>
      <c r="C29" s="12">
        <v>740</v>
      </c>
      <c r="D29" s="18">
        <f>100*13+300*11+800</f>
        <v>5400</v>
      </c>
      <c r="F29" s="48">
        <v>45349</v>
      </c>
      <c r="G29" s="49" t="s">
        <v>111</v>
      </c>
      <c r="H29" s="17" t="s">
        <v>92</v>
      </c>
      <c r="I29" s="12">
        <v>610</v>
      </c>
      <c r="J29" s="50">
        <v>43.86</v>
      </c>
    </row>
    <row r="30" spans="1:10" x14ac:dyDescent="0.15">
      <c r="A30" s="48">
        <v>45418</v>
      </c>
      <c r="B30" s="17" t="s">
        <v>192</v>
      </c>
      <c r="C30" s="12">
        <v>720</v>
      </c>
      <c r="D30" s="50">
        <f>30*3+7*3+20*2+3*1+4.5*1</f>
        <v>158.5</v>
      </c>
      <c r="F30" s="48">
        <v>45351</v>
      </c>
      <c r="G30" s="49"/>
      <c r="H30" s="9" t="s">
        <v>1</v>
      </c>
      <c r="I30" s="12">
        <v>610</v>
      </c>
      <c r="J30" s="50">
        <v>270.74</v>
      </c>
    </row>
    <row r="31" spans="1:10" x14ac:dyDescent="0.15">
      <c r="A31" s="48">
        <v>45427</v>
      </c>
      <c r="B31" s="9" t="s">
        <v>175</v>
      </c>
      <c r="C31" s="12">
        <v>740</v>
      </c>
      <c r="D31" s="18">
        <f>25*7</f>
        <v>175</v>
      </c>
      <c r="F31" s="56"/>
      <c r="G31" s="57"/>
      <c r="H31" s="62" t="s">
        <v>193</v>
      </c>
      <c r="I31" s="63"/>
      <c r="J31" s="55">
        <f>SUM(J23:J30)</f>
        <v>1139.49</v>
      </c>
    </row>
    <row r="32" spans="1:10" x14ac:dyDescent="0.15">
      <c r="A32" s="54"/>
      <c r="B32" s="62" t="s">
        <v>194</v>
      </c>
      <c r="C32" s="62"/>
      <c r="D32" s="55">
        <f>SUM(D29:D31)</f>
        <v>5733.5</v>
      </c>
      <c r="F32" s="48">
        <v>45352</v>
      </c>
      <c r="G32" s="49" t="s">
        <v>112</v>
      </c>
      <c r="H32" s="17" t="s">
        <v>195</v>
      </c>
      <c r="I32" s="12">
        <v>620</v>
      </c>
      <c r="J32" s="50">
        <v>56.87</v>
      </c>
    </row>
    <row r="33" spans="1:10" x14ac:dyDescent="0.15">
      <c r="A33" s="48">
        <v>45444</v>
      </c>
      <c r="B33" s="9" t="s">
        <v>175</v>
      </c>
      <c r="C33" s="12">
        <v>740</v>
      </c>
      <c r="D33" s="18">
        <f>25*10</f>
        <v>250</v>
      </c>
      <c r="F33" s="48">
        <v>45353</v>
      </c>
      <c r="G33" s="49"/>
      <c r="H33" s="17" t="s">
        <v>0</v>
      </c>
      <c r="I33" s="12">
        <v>620</v>
      </c>
      <c r="J33" s="50">
        <f>49.81+54.85</f>
        <v>104.66</v>
      </c>
    </row>
    <row r="34" spans="1:10" x14ac:dyDescent="0.15">
      <c r="A34" s="48">
        <v>45446</v>
      </c>
      <c r="B34" s="9" t="s">
        <v>99</v>
      </c>
      <c r="C34" s="12">
        <v>740</v>
      </c>
      <c r="D34" s="18">
        <f>800+75+100+500+300+100+100</f>
        <v>1975</v>
      </c>
      <c r="F34" s="48">
        <v>45355</v>
      </c>
      <c r="G34" s="49" t="s">
        <v>113</v>
      </c>
      <c r="H34" s="17" t="s">
        <v>196</v>
      </c>
      <c r="I34" s="12">
        <v>620</v>
      </c>
      <c r="J34" s="50">
        <v>29.42</v>
      </c>
    </row>
    <row r="35" spans="1:10" x14ac:dyDescent="0.15">
      <c r="A35" s="48">
        <v>45463</v>
      </c>
      <c r="B35" s="17" t="s">
        <v>192</v>
      </c>
      <c r="C35" s="12">
        <v>720</v>
      </c>
      <c r="D35" s="50">
        <v>143</v>
      </c>
      <c r="F35" s="48">
        <v>45366</v>
      </c>
      <c r="G35" s="49" t="s">
        <v>114</v>
      </c>
      <c r="H35" s="17" t="s">
        <v>93</v>
      </c>
      <c r="I35" s="12">
        <v>620</v>
      </c>
      <c r="J35" s="50">
        <v>16.170000000000002</v>
      </c>
    </row>
    <row r="36" spans="1:10" x14ac:dyDescent="0.15">
      <c r="A36" s="54"/>
      <c r="B36" s="62" t="s">
        <v>197</v>
      </c>
      <c r="C36" s="62"/>
      <c r="D36" s="55">
        <f>SUM(D34:D35)</f>
        <v>2118</v>
      </c>
      <c r="F36" s="48">
        <v>45367</v>
      </c>
      <c r="G36" s="49"/>
      <c r="H36" s="17" t="s">
        <v>95</v>
      </c>
      <c r="I36" s="12">
        <v>690</v>
      </c>
      <c r="J36" s="50">
        <f>3.3+0.69+2.75+15</f>
        <v>21.740000000000002</v>
      </c>
    </row>
    <row r="37" spans="1:10" x14ac:dyDescent="0.15">
      <c r="A37" s="48">
        <v>45476</v>
      </c>
      <c r="B37" s="9" t="s">
        <v>99</v>
      </c>
      <c r="C37" s="12">
        <v>740</v>
      </c>
      <c r="D37" s="18">
        <f>100+500+100+100+500+100+100+100+100</f>
        <v>1700</v>
      </c>
      <c r="F37" s="48">
        <v>45370</v>
      </c>
      <c r="G37" s="49" t="s">
        <v>115</v>
      </c>
      <c r="H37" s="17" t="s">
        <v>198</v>
      </c>
      <c r="I37" s="12">
        <v>620</v>
      </c>
      <c r="J37" s="50">
        <v>16.43</v>
      </c>
    </row>
    <row r="38" spans="1:10" x14ac:dyDescent="0.15">
      <c r="A38" s="48">
        <v>45476</v>
      </c>
      <c r="B38" s="9" t="s">
        <v>245</v>
      </c>
      <c r="C38" s="12">
        <v>710</v>
      </c>
      <c r="D38" s="50">
        <v>10178</v>
      </c>
      <c r="F38" s="48">
        <v>45370</v>
      </c>
      <c r="G38" s="49" t="s">
        <v>116</v>
      </c>
      <c r="H38" s="17" t="s">
        <v>199</v>
      </c>
      <c r="I38" s="12">
        <v>620</v>
      </c>
      <c r="J38" s="50">
        <v>14.59</v>
      </c>
    </row>
    <row r="39" spans="1:10" x14ac:dyDescent="0.15">
      <c r="A39" s="48">
        <v>45483</v>
      </c>
      <c r="B39" s="9" t="s">
        <v>200</v>
      </c>
      <c r="C39" s="12">
        <v>760</v>
      </c>
      <c r="D39" s="18">
        <v>2.52</v>
      </c>
      <c r="F39" s="48">
        <v>45371</v>
      </c>
      <c r="G39" s="49" t="s">
        <v>117</v>
      </c>
      <c r="H39" s="17" t="s">
        <v>201</v>
      </c>
      <c r="I39" s="12">
        <v>640</v>
      </c>
      <c r="J39" s="50">
        <v>13.2</v>
      </c>
    </row>
    <row r="40" spans="1:10" x14ac:dyDescent="0.15">
      <c r="A40" s="54"/>
      <c r="B40" s="62" t="s">
        <v>202</v>
      </c>
      <c r="C40" s="62"/>
      <c r="D40" s="55">
        <f>SUM(D37:D39)</f>
        <v>11880.52</v>
      </c>
      <c r="F40" s="48">
        <v>45373</v>
      </c>
      <c r="G40" s="49"/>
      <c r="H40" s="17" t="s">
        <v>203</v>
      </c>
      <c r="I40" s="12">
        <v>670</v>
      </c>
      <c r="J40" s="50">
        <v>1.95</v>
      </c>
    </row>
    <row r="41" spans="1:10" x14ac:dyDescent="0.15">
      <c r="A41" s="48">
        <v>45511</v>
      </c>
      <c r="B41" s="9" t="s">
        <v>99</v>
      </c>
      <c r="C41" s="12">
        <v>740</v>
      </c>
      <c r="D41" s="18">
        <f>100*5+189+100*14+300</f>
        <v>2389</v>
      </c>
      <c r="F41" s="48">
        <v>45376</v>
      </c>
      <c r="G41" s="49"/>
      <c r="H41" s="17" t="s">
        <v>204</v>
      </c>
      <c r="I41" s="12">
        <v>610</v>
      </c>
      <c r="J41" s="50">
        <v>658.59</v>
      </c>
    </row>
    <row r="42" spans="1:10" x14ac:dyDescent="0.15">
      <c r="A42" s="54"/>
      <c r="B42" s="62" t="s">
        <v>205</v>
      </c>
      <c r="C42" s="62"/>
      <c r="D42" s="55">
        <f>SUM(D41)</f>
        <v>2389</v>
      </c>
      <c r="F42" s="48">
        <v>45377</v>
      </c>
      <c r="G42" s="49" t="s">
        <v>118</v>
      </c>
      <c r="H42" s="17" t="s">
        <v>92</v>
      </c>
      <c r="I42" s="12">
        <v>610</v>
      </c>
      <c r="J42" s="50">
        <v>43.86</v>
      </c>
    </row>
    <row r="43" spans="1:10" x14ac:dyDescent="0.15">
      <c r="A43" s="48">
        <v>45537</v>
      </c>
      <c r="B43" s="9" t="s">
        <v>99</v>
      </c>
      <c r="C43" s="12">
        <v>740</v>
      </c>
      <c r="D43" s="18">
        <f>100*10+100*49+300+75+25+75</f>
        <v>6375</v>
      </c>
      <c r="F43" s="48">
        <v>45378</v>
      </c>
      <c r="G43" s="49" t="s">
        <v>119</v>
      </c>
      <c r="H43" s="17" t="s">
        <v>206</v>
      </c>
      <c r="I43" s="12">
        <v>690</v>
      </c>
      <c r="J43" s="50">
        <v>45</v>
      </c>
    </row>
    <row r="44" spans="1:10" x14ac:dyDescent="0.15">
      <c r="A44" s="48">
        <v>45551</v>
      </c>
      <c r="B44" s="9" t="s">
        <v>246</v>
      </c>
      <c r="C44" s="12">
        <v>720</v>
      </c>
      <c r="D44" s="50">
        <f>411-D45</f>
        <v>131</v>
      </c>
      <c r="F44" s="48">
        <v>45378</v>
      </c>
      <c r="G44" s="49"/>
      <c r="H44" s="9" t="s">
        <v>1</v>
      </c>
      <c r="I44" s="12">
        <v>610</v>
      </c>
      <c r="J44" s="50">
        <v>270.74</v>
      </c>
    </row>
    <row r="45" spans="1:10" x14ac:dyDescent="0.15">
      <c r="A45" s="48">
        <v>45551</v>
      </c>
      <c r="B45" s="9" t="s">
        <v>247</v>
      </c>
      <c r="C45" s="12">
        <v>710</v>
      </c>
      <c r="D45" s="18">
        <f>411-131</f>
        <v>280</v>
      </c>
      <c r="F45" s="56"/>
      <c r="G45" s="57"/>
      <c r="H45" s="62" t="s">
        <v>207</v>
      </c>
      <c r="I45" s="63"/>
      <c r="J45" s="55">
        <f>SUM(J32:J44)</f>
        <v>1293.22</v>
      </c>
    </row>
    <row r="46" spans="1:10" x14ac:dyDescent="0.15">
      <c r="A46" s="48">
        <v>45561</v>
      </c>
      <c r="B46" s="9" t="s">
        <v>264</v>
      </c>
      <c r="C46" s="12">
        <v>740</v>
      </c>
      <c r="D46" s="18">
        <v>60</v>
      </c>
      <c r="F46" s="48">
        <v>45386</v>
      </c>
      <c r="G46" s="49" t="s">
        <v>120</v>
      </c>
      <c r="H46" s="17" t="s">
        <v>196</v>
      </c>
      <c r="I46" s="12">
        <v>620</v>
      </c>
      <c r="J46" s="50">
        <v>38</v>
      </c>
    </row>
    <row r="47" spans="1:10" x14ac:dyDescent="0.15">
      <c r="A47" s="54"/>
      <c r="B47" s="62" t="s">
        <v>244</v>
      </c>
      <c r="C47" s="63"/>
      <c r="D47" s="55">
        <f>SUM(D43:D46)</f>
        <v>6846</v>
      </c>
      <c r="F47" s="48">
        <v>45394</v>
      </c>
      <c r="G47" s="49" t="s">
        <v>122</v>
      </c>
      <c r="H47" s="17" t="s">
        <v>208</v>
      </c>
      <c r="I47" s="12">
        <v>640</v>
      </c>
      <c r="J47" s="50">
        <v>65.849999999999994</v>
      </c>
    </row>
    <row r="48" spans="1:10" x14ac:dyDescent="0.15">
      <c r="A48" s="48"/>
      <c r="B48" s="9" t="s">
        <v>99</v>
      </c>
      <c r="C48" s="12">
        <v>740</v>
      </c>
      <c r="D48" s="18">
        <f>100*10+75*1+87.29+100*24+100*5+102.8*2</f>
        <v>4267.8900000000003</v>
      </c>
      <c r="F48" s="48">
        <v>45395</v>
      </c>
      <c r="G48" s="49" t="s">
        <v>121</v>
      </c>
      <c r="H48" s="17" t="s">
        <v>93</v>
      </c>
      <c r="I48" s="12">
        <v>620</v>
      </c>
      <c r="J48" s="50">
        <v>15.05</v>
      </c>
    </row>
    <row r="49" spans="1:10" x14ac:dyDescent="0.15">
      <c r="A49" s="48"/>
      <c r="B49" s="9" t="s">
        <v>271</v>
      </c>
      <c r="C49" s="12">
        <v>720</v>
      </c>
      <c r="D49" s="50">
        <f>51+44*3</f>
        <v>183</v>
      </c>
      <c r="F49" s="48">
        <v>45398</v>
      </c>
      <c r="G49" s="49"/>
      <c r="H49" s="17" t="s">
        <v>95</v>
      </c>
      <c r="I49" s="12">
        <v>690</v>
      </c>
      <c r="J49" s="50">
        <f>15+0.6+0.13+30+2.4+2.75</f>
        <v>50.88</v>
      </c>
    </row>
    <row r="50" spans="1:10" x14ac:dyDescent="0.15">
      <c r="A50" s="48"/>
      <c r="B50" s="9" t="s">
        <v>269</v>
      </c>
      <c r="C50" s="12">
        <v>710</v>
      </c>
      <c r="D50" s="18">
        <f>0.01</f>
        <v>0.01</v>
      </c>
      <c r="F50" s="48">
        <v>45398</v>
      </c>
      <c r="G50" s="49" t="s">
        <v>124</v>
      </c>
      <c r="H50" s="17" t="s">
        <v>209</v>
      </c>
      <c r="I50" s="12">
        <v>620</v>
      </c>
      <c r="J50" s="50">
        <v>0</v>
      </c>
    </row>
    <row r="51" spans="1:10" x14ac:dyDescent="0.15">
      <c r="A51" s="48"/>
      <c r="B51" s="9" t="s">
        <v>264</v>
      </c>
      <c r="C51" s="12">
        <v>740</v>
      </c>
      <c r="D51" s="18">
        <v>30</v>
      </c>
      <c r="F51" s="48">
        <v>45400</v>
      </c>
      <c r="G51" s="49" t="s">
        <v>123</v>
      </c>
      <c r="H51" s="17" t="s">
        <v>210</v>
      </c>
      <c r="I51" s="12">
        <v>690</v>
      </c>
      <c r="J51" s="50">
        <v>6.48</v>
      </c>
    </row>
    <row r="52" spans="1:10" x14ac:dyDescent="0.15">
      <c r="A52" s="54"/>
      <c r="B52" s="62" t="s">
        <v>268</v>
      </c>
      <c r="C52" s="63"/>
      <c r="D52" s="55">
        <f>SUM(D48:D51)</f>
        <v>4480.9000000000005</v>
      </c>
      <c r="F52" s="48">
        <v>45400</v>
      </c>
      <c r="G52" s="49"/>
      <c r="H52" s="17" t="s">
        <v>0</v>
      </c>
      <c r="I52" s="12">
        <v>620</v>
      </c>
      <c r="J52" s="50">
        <v>49.81</v>
      </c>
    </row>
    <row r="53" spans="1:10" x14ac:dyDescent="0.15">
      <c r="F53" s="48">
        <v>45401</v>
      </c>
      <c r="G53" s="49" t="s">
        <v>125</v>
      </c>
      <c r="H53" s="17" t="s">
        <v>211</v>
      </c>
      <c r="I53" s="12">
        <v>670</v>
      </c>
      <c r="J53" s="50">
        <v>619.20000000000005</v>
      </c>
    </row>
    <row r="54" spans="1:10" x14ac:dyDescent="0.15">
      <c r="F54" s="48">
        <v>45402</v>
      </c>
      <c r="G54" s="49" t="s">
        <v>126</v>
      </c>
      <c r="H54" s="17" t="s">
        <v>212</v>
      </c>
      <c r="I54" s="12">
        <v>620</v>
      </c>
      <c r="J54" s="50">
        <v>0</v>
      </c>
    </row>
    <row r="55" spans="1:10" x14ac:dyDescent="0.15">
      <c r="F55" s="48">
        <v>45406</v>
      </c>
      <c r="G55" s="49" t="s">
        <v>127</v>
      </c>
      <c r="H55" s="17" t="s">
        <v>213</v>
      </c>
      <c r="I55" s="12">
        <v>670</v>
      </c>
      <c r="J55" s="50">
        <v>6.05</v>
      </c>
    </row>
    <row r="56" spans="1:10" x14ac:dyDescent="0.15">
      <c r="F56" s="48">
        <v>45407</v>
      </c>
      <c r="G56" s="49"/>
      <c r="H56" s="17" t="s">
        <v>214</v>
      </c>
      <c r="I56" s="12">
        <v>610</v>
      </c>
      <c r="J56" s="50">
        <v>658.59</v>
      </c>
    </row>
    <row r="57" spans="1:10" x14ac:dyDescent="0.15">
      <c r="F57" s="48">
        <v>45411</v>
      </c>
      <c r="G57" s="49" t="s">
        <v>128</v>
      </c>
      <c r="H57" s="17" t="s">
        <v>92</v>
      </c>
      <c r="I57" s="12">
        <v>610</v>
      </c>
      <c r="J57" s="50">
        <v>62.01</v>
      </c>
    </row>
    <row r="58" spans="1:10" x14ac:dyDescent="0.15">
      <c r="F58" s="48">
        <v>45412</v>
      </c>
      <c r="G58" s="49"/>
      <c r="H58" s="9" t="s">
        <v>1</v>
      </c>
      <c r="I58" s="12">
        <v>610</v>
      </c>
      <c r="J58" s="50">
        <v>270.74</v>
      </c>
    </row>
    <row r="59" spans="1:10" x14ac:dyDescent="0.15">
      <c r="F59" s="56"/>
      <c r="G59" s="57"/>
      <c r="H59" s="62" t="s">
        <v>215</v>
      </c>
      <c r="I59" s="63"/>
      <c r="J59" s="55">
        <f>SUM(J46:J58)</f>
        <v>1842.6599999999999</v>
      </c>
    </row>
    <row r="60" spans="1:10" x14ac:dyDescent="0.15">
      <c r="F60" s="48">
        <v>45407</v>
      </c>
      <c r="G60" s="49" t="s">
        <v>129</v>
      </c>
      <c r="H60" s="17" t="s">
        <v>216</v>
      </c>
      <c r="I60" s="12">
        <v>620</v>
      </c>
      <c r="J60" s="50">
        <v>0</v>
      </c>
    </row>
    <row r="61" spans="1:10" x14ac:dyDescent="0.15">
      <c r="F61" s="48">
        <v>45408</v>
      </c>
      <c r="G61" s="49" t="s">
        <v>130</v>
      </c>
      <c r="H61" s="17" t="s">
        <v>217</v>
      </c>
      <c r="I61" s="12">
        <v>620</v>
      </c>
      <c r="J61" s="50">
        <v>6.05</v>
      </c>
    </row>
    <row r="62" spans="1:10" x14ac:dyDescent="0.15">
      <c r="F62" s="48">
        <v>45408</v>
      </c>
      <c r="G62" s="49" t="s">
        <v>131</v>
      </c>
      <c r="H62" s="17" t="s">
        <v>218</v>
      </c>
      <c r="I62" s="12">
        <v>620</v>
      </c>
      <c r="J62" s="50">
        <v>6.05</v>
      </c>
    </row>
    <row r="63" spans="1:10" x14ac:dyDescent="0.15">
      <c r="F63" s="48">
        <v>45408</v>
      </c>
      <c r="G63" s="49" t="s">
        <v>132</v>
      </c>
      <c r="H63" s="17" t="s">
        <v>219</v>
      </c>
      <c r="I63" s="12">
        <v>620</v>
      </c>
      <c r="J63" s="50">
        <v>0</v>
      </c>
    </row>
    <row r="64" spans="1:10" x14ac:dyDescent="0.15">
      <c r="F64" s="48">
        <v>45415</v>
      </c>
      <c r="G64" s="49"/>
      <c r="H64" s="17" t="s">
        <v>220</v>
      </c>
      <c r="I64" s="12">
        <v>680</v>
      </c>
      <c r="J64" s="50">
        <v>146.44</v>
      </c>
    </row>
    <row r="65" spans="6:10" x14ac:dyDescent="0.15">
      <c r="F65" s="48">
        <v>45416</v>
      </c>
      <c r="G65" s="49"/>
      <c r="H65" s="17" t="s">
        <v>0</v>
      </c>
      <c r="I65" s="12">
        <v>620</v>
      </c>
      <c r="J65" s="50">
        <v>49.81</v>
      </c>
    </row>
    <row r="66" spans="6:10" x14ac:dyDescent="0.15">
      <c r="F66" s="48">
        <v>45418</v>
      </c>
      <c r="G66" s="49" t="s">
        <v>133</v>
      </c>
      <c r="H66" s="17" t="s">
        <v>221</v>
      </c>
      <c r="I66" s="12">
        <v>620</v>
      </c>
      <c r="J66" s="50">
        <v>56.87</v>
      </c>
    </row>
    <row r="67" spans="6:10" x14ac:dyDescent="0.15">
      <c r="F67" s="48">
        <v>45418</v>
      </c>
      <c r="G67" s="49" t="s">
        <v>134</v>
      </c>
      <c r="H67" s="17" t="s">
        <v>196</v>
      </c>
      <c r="I67" s="12">
        <v>620</v>
      </c>
      <c r="J67" s="50">
        <v>38</v>
      </c>
    </row>
    <row r="68" spans="6:10" x14ac:dyDescent="0.15">
      <c r="F68" s="48">
        <v>45418</v>
      </c>
      <c r="G68" s="49"/>
      <c r="H68" s="17" t="s">
        <v>95</v>
      </c>
      <c r="I68" s="12">
        <v>690</v>
      </c>
      <c r="J68" s="50">
        <f>0.3*5+0.06*3+0.13+12.1+12.1+15+2.75</f>
        <v>43.76</v>
      </c>
    </row>
    <row r="69" spans="6:10" x14ac:dyDescent="0.15">
      <c r="F69" s="48">
        <v>45419</v>
      </c>
      <c r="G69" s="49" t="s">
        <v>135</v>
      </c>
      <c r="H69" s="17" t="s">
        <v>222</v>
      </c>
      <c r="I69" s="12">
        <v>660</v>
      </c>
      <c r="J69" s="50">
        <v>137.25</v>
      </c>
    </row>
    <row r="70" spans="6:10" x14ac:dyDescent="0.15">
      <c r="F70" s="48">
        <v>45420</v>
      </c>
      <c r="G70" s="49" t="s">
        <v>136</v>
      </c>
      <c r="H70" s="17" t="s">
        <v>223</v>
      </c>
      <c r="I70" s="12">
        <v>630</v>
      </c>
      <c r="J70" s="50">
        <v>166</v>
      </c>
    </row>
    <row r="71" spans="6:10" x14ac:dyDescent="0.15">
      <c r="F71" s="48">
        <v>45427</v>
      </c>
      <c r="G71" s="49" t="s">
        <v>137</v>
      </c>
      <c r="H71" s="17" t="s">
        <v>224</v>
      </c>
      <c r="I71" s="12">
        <v>690</v>
      </c>
      <c r="J71" s="50">
        <v>363</v>
      </c>
    </row>
    <row r="72" spans="6:10" x14ac:dyDescent="0.15">
      <c r="F72" s="48">
        <v>45427</v>
      </c>
      <c r="G72" s="49" t="s">
        <v>138</v>
      </c>
      <c r="H72" s="17" t="s">
        <v>203</v>
      </c>
      <c r="I72" s="12">
        <v>670</v>
      </c>
      <c r="J72" s="50">
        <v>276.86</v>
      </c>
    </row>
    <row r="73" spans="6:10" x14ac:dyDescent="0.15">
      <c r="F73" s="48">
        <v>45428</v>
      </c>
      <c r="G73" s="49" t="s">
        <v>139</v>
      </c>
      <c r="H73" s="17" t="s">
        <v>93</v>
      </c>
      <c r="I73" s="12">
        <v>620</v>
      </c>
      <c r="J73" s="50">
        <v>15.46</v>
      </c>
    </row>
    <row r="74" spans="6:10" x14ac:dyDescent="0.15">
      <c r="F74" s="48">
        <v>45433</v>
      </c>
      <c r="G74" s="49" t="s">
        <v>144</v>
      </c>
      <c r="H74" s="17" t="s">
        <v>102</v>
      </c>
      <c r="I74" s="12">
        <v>620</v>
      </c>
      <c r="J74" s="50">
        <v>24.2</v>
      </c>
    </row>
    <row r="75" spans="6:10" x14ac:dyDescent="0.15">
      <c r="F75" s="48">
        <v>45467</v>
      </c>
      <c r="G75" s="49"/>
      <c r="H75" s="17" t="s">
        <v>225</v>
      </c>
      <c r="I75" s="12">
        <v>610</v>
      </c>
      <c r="J75" s="50">
        <v>658.99</v>
      </c>
    </row>
    <row r="76" spans="6:10" x14ac:dyDescent="0.15">
      <c r="F76" s="48">
        <v>45442</v>
      </c>
      <c r="G76" s="49" t="s">
        <v>145</v>
      </c>
      <c r="H76" s="17" t="s">
        <v>92</v>
      </c>
      <c r="I76" s="12">
        <v>610</v>
      </c>
      <c r="J76" s="50">
        <v>43.86</v>
      </c>
    </row>
    <row r="77" spans="6:10" x14ac:dyDescent="0.15">
      <c r="F77" s="48">
        <v>45443</v>
      </c>
      <c r="G77" s="49"/>
      <c r="H77" s="9" t="s">
        <v>1</v>
      </c>
      <c r="I77" s="12">
        <v>610</v>
      </c>
      <c r="J77" s="50">
        <v>270.74</v>
      </c>
    </row>
    <row r="78" spans="6:10" x14ac:dyDescent="0.15">
      <c r="F78" s="56"/>
      <c r="G78" s="57"/>
      <c r="H78" s="62" t="s">
        <v>226</v>
      </c>
      <c r="I78" s="63"/>
      <c r="J78" s="55">
        <f>SUM(J60:J77)</f>
        <v>2303.34</v>
      </c>
    </row>
    <row r="79" spans="6:10" x14ac:dyDescent="0.15">
      <c r="F79" s="48">
        <v>45444</v>
      </c>
      <c r="G79" s="49"/>
      <c r="H79" s="17" t="s">
        <v>95</v>
      </c>
      <c r="I79" s="12">
        <v>690</v>
      </c>
      <c r="J79" s="50">
        <f>12.1+12.1+2.75+15+18+1.5+0.32</f>
        <v>61.77</v>
      </c>
    </row>
    <row r="80" spans="6:10" x14ac:dyDescent="0.15">
      <c r="F80" s="48">
        <v>45447</v>
      </c>
      <c r="G80" s="49" t="s">
        <v>146</v>
      </c>
      <c r="H80" s="17" t="s">
        <v>141</v>
      </c>
      <c r="I80" s="12">
        <v>620</v>
      </c>
      <c r="J80" s="50">
        <v>38</v>
      </c>
    </row>
    <row r="81" spans="6:10" x14ac:dyDescent="0.15">
      <c r="F81" s="48">
        <v>45448</v>
      </c>
      <c r="G81" s="49"/>
      <c r="H81" s="17" t="s">
        <v>0</v>
      </c>
      <c r="I81" s="12">
        <v>620</v>
      </c>
      <c r="J81" s="50">
        <v>49.81</v>
      </c>
    </row>
    <row r="82" spans="6:10" x14ac:dyDescent="0.15">
      <c r="F82" s="48">
        <v>45448</v>
      </c>
      <c r="G82" s="49" t="s">
        <v>147</v>
      </c>
      <c r="H82" s="17" t="s">
        <v>227</v>
      </c>
      <c r="I82" s="12">
        <v>620</v>
      </c>
      <c r="J82" s="50">
        <v>56.87</v>
      </c>
    </row>
    <row r="83" spans="6:10" x14ac:dyDescent="0.15">
      <c r="F83" s="48">
        <v>45458</v>
      </c>
      <c r="G83" s="49" t="s">
        <v>148</v>
      </c>
      <c r="H83" s="17" t="s">
        <v>93</v>
      </c>
      <c r="I83" s="12">
        <v>620</v>
      </c>
      <c r="J83" s="50">
        <v>17.05</v>
      </c>
    </row>
    <row r="84" spans="6:10" x14ac:dyDescent="0.15">
      <c r="F84" s="48">
        <v>45460</v>
      </c>
      <c r="G84" s="49" t="s">
        <v>149</v>
      </c>
      <c r="H84" s="17" t="s">
        <v>228</v>
      </c>
      <c r="I84" s="12">
        <v>640</v>
      </c>
      <c r="J84" s="50">
        <v>15.7</v>
      </c>
    </row>
    <row r="85" spans="6:10" x14ac:dyDescent="0.15">
      <c r="F85" s="48">
        <v>45462</v>
      </c>
      <c r="G85" s="49" t="s">
        <v>150</v>
      </c>
      <c r="H85" s="17" t="s">
        <v>229</v>
      </c>
      <c r="I85" s="12">
        <v>610</v>
      </c>
      <c r="J85" s="50">
        <v>197.9</v>
      </c>
    </row>
    <row r="86" spans="6:10" x14ac:dyDescent="0.15">
      <c r="F86" s="48">
        <v>45463</v>
      </c>
      <c r="G86" s="49" t="s">
        <v>151</v>
      </c>
      <c r="H86" s="17" t="s">
        <v>102</v>
      </c>
      <c r="I86" s="12">
        <v>620</v>
      </c>
      <c r="J86" s="50">
        <v>24.2</v>
      </c>
    </row>
    <row r="87" spans="6:10" x14ac:dyDescent="0.15">
      <c r="F87" s="48">
        <v>45465</v>
      </c>
      <c r="G87" s="49"/>
      <c r="H87" s="17" t="s">
        <v>220</v>
      </c>
      <c r="I87" s="12">
        <v>680</v>
      </c>
      <c r="J87" s="50">
        <v>146.44</v>
      </c>
    </row>
    <row r="88" spans="6:10" x14ac:dyDescent="0.15">
      <c r="F88" s="48">
        <v>45468</v>
      </c>
      <c r="G88" s="49" t="s">
        <v>152</v>
      </c>
      <c r="H88" s="17" t="s">
        <v>223</v>
      </c>
      <c r="I88" s="12">
        <v>630</v>
      </c>
      <c r="J88" s="50">
        <f>614.2</f>
        <v>614.20000000000005</v>
      </c>
    </row>
    <row r="89" spans="6:10" x14ac:dyDescent="0.15">
      <c r="F89" s="48">
        <v>45468</v>
      </c>
      <c r="G89" s="49" t="s">
        <v>153</v>
      </c>
      <c r="H89" s="17" t="s">
        <v>223</v>
      </c>
      <c r="I89" s="12">
        <v>630</v>
      </c>
      <c r="J89" s="50">
        <v>564.4</v>
      </c>
    </row>
    <row r="90" spans="6:10" x14ac:dyDescent="0.15">
      <c r="F90" s="48">
        <v>45468</v>
      </c>
      <c r="G90" s="49"/>
      <c r="H90" s="17" t="s">
        <v>230</v>
      </c>
      <c r="I90" s="12">
        <v>610</v>
      </c>
      <c r="J90" s="50">
        <v>658.59</v>
      </c>
    </row>
    <row r="91" spans="6:10" x14ac:dyDescent="0.15">
      <c r="F91" s="48">
        <v>45470</v>
      </c>
      <c r="G91" s="49" t="s">
        <v>155</v>
      </c>
      <c r="H91" s="17" t="s">
        <v>92</v>
      </c>
      <c r="I91" s="12">
        <v>610</v>
      </c>
      <c r="J91" s="50">
        <v>43.86</v>
      </c>
    </row>
    <row r="92" spans="6:10" x14ac:dyDescent="0.15">
      <c r="F92" s="48">
        <v>45471</v>
      </c>
      <c r="G92" s="49" t="s">
        <v>156</v>
      </c>
      <c r="H92" s="17" t="s">
        <v>231</v>
      </c>
      <c r="I92" s="12">
        <v>670</v>
      </c>
      <c r="J92" s="50">
        <v>356.95</v>
      </c>
    </row>
    <row r="93" spans="6:10" x14ac:dyDescent="0.15">
      <c r="F93" s="48">
        <v>45471</v>
      </c>
      <c r="G93" s="49"/>
      <c r="H93" s="9" t="s">
        <v>1</v>
      </c>
      <c r="I93" s="12">
        <v>610</v>
      </c>
      <c r="J93" s="50">
        <v>270.74</v>
      </c>
    </row>
    <row r="94" spans="6:10" x14ac:dyDescent="0.15">
      <c r="F94" s="56"/>
      <c r="G94" s="57"/>
      <c r="H94" s="62" t="s">
        <v>232</v>
      </c>
      <c r="I94" s="63"/>
      <c r="J94" s="55">
        <f>SUM(J79:J93)</f>
        <v>3116.4800000000005</v>
      </c>
    </row>
    <row r="95" spans="6:10" x14ac:dyDescent="0.15">
      <c r="F95" s="48">
        <v>45474</v>
      </c>
      <c r="G95" s="49"/>
      <c r="H95" s="17" t="s">
        <v>95</v>
      </c>
      <c r="I95" s="12">
        <v>690</v>
      </c>
      <c r="J95" s="50">
        <f>24.2+92.4+19.4+2+0.42+1+0.21+10+2.1+3+0.63+1+0.21+1+0.21+15+12.1+12.1+30+1.8+2.75</f>
        <v>231.53</v>
      </c>
    </row>
    <row r="96" spans="6:10" x14ac:dyDescent="0.15">
      <c r="F96" s="48">
        <v>45477</v>
      </c>
      <c r="G96" s="49"/>
      <c r="H96" s="17" t="s">
        <v>176</v>
      </c>
      <c r="I96" s="12">
        <v>690</v>
      </c>
      <c r="J96" s="50">
        <f>70+35+350+105+35+35</f>
        <v>630</v>
      </c>
    </row>
    <row r="97" spans="6:10" x14ac:dyDescent="0.15">
      <c r="F97" s="48">
        <v>45477</v>
      </c>
      <c r="G97" s="49" t="s">
        <v>157</v>
      </c>
      <c r="H97" s="17" t="s">
        <v>141</v>
      </c>
      <c r="I97" s="12">
        <v>620</v>
      </c>
      <c r="J97" s="50">
        <v>38</v>
      </c>
    </row>
    <row r="98" spans="6:10" x14ac:dyDescent="0.15">
      <c r="F98" s="48">
        <v>45477</v>
      </c>
      <c r="G98" s="49" t="s">
        <v>158</v>
      </c>
      <c r="H98" s="17" t="s">
        <v>233</v>
      </c>
      <c r="I98" s="12">
        <v>620</v>
      </c>
      <c r="J98" s="50">
        <v>56.57</v>
      </c>
    </row>
    <row r="99" spans="6:10" x14ac:dyDescent="0.15">
      <c r="F99" s="48">
        <v>45484</v>
      </c>
      <c r="G99" s="49"/>
      <c r="H99" s="17" t="s">
        <v>0</v>
      </c>
      <c r="I99" s="12">
        <v>620</v>
      </c>
      <c r="J99" s="50">
        <v>49.81</v>
      </c>
    </row>
    <row r="100" spans="6:10" x14ac:dyDescent="0.15">
      <c r="F100" s="48">
        <v>45484</v>
      </c>
      <c r="G100" s="49"/>
      <c r="H100" s="17" t="s">
        <v>203</v>
      </c>
      <c r="I100" s="12">
        <v>640</v>
      </c>
      <c r="J100" s="50">
        <v>10.92</v>
      </c>
    </row>
    <row r="101" spans="6:10" x14ac:dyDescent="0.15">
      <c r="F101" s="48">
        <v>45491</v>
      </c>
      <c r="G101" s="49" t="s">
        <v>150</v>
      </c>
      <c r="H101" s="17" t="s">
        <v>229</v>
      </c>
      <c r="I101" s="12">
        <v>610</v>
      </c>
      <c r="J101" s="50">
        <v>197.9</v>
      </c>
    </row>
    <row r="102" spans="6:10" x14ac:dyDescent="0.15">
      <c r="F102" s="48">
        <v>45498</v>
      </c>
      <c r="G102" s="49" t="s">
        <v>161</v>
      </c>
      <c r="H102" s="17" t="s">
        <v>93</v>
      </c>
      <c r="I102" s="12">
        <v>620</v>
      </c>
      <c r="J102" s="50">
        <v>16.170000000000002</v>
      </c>
    </row>
    <row r="103" spans="6:10" x14ac:dyDescent="0.15">
      <c r="F103" s="48">
        <v>45499</v>
      </c>
      <c r="G103" s="49" t="s">
        <v>162</v>
      </c>
      <c r="H103" s="17" t="s">
        <v>93</v>
      </c>
      <c r="I103" s="12">
        <v>620</v>
      </c>
      <c r="J103" s="50">
        <v>8.02</v>
      </c>
    </row>
    <row r="104" spans="6:10" x14ac:dyDescent="0.15">
      <c r="F104" s="48">
        <v>45495</v>
      </c>
      <c r="G104" s="49" t="s">
        <v>160</v>
      </c>
      <c r="H104" s="17" t="s">
        <v>102</v>
      </c>
      <c r="I104" s="12">
        <v>620</v>
      </c>
      <c r="J104" s="50">
        <v>24.2</v>
      </c>
    </row>
    <row r="105" spans="6:10" x14ac:dyDescent="0.15">
      <c r="F105" s="48">
        <v>45495</v>
      </c>
      <c r="G105" s="49"/>
      <c r="H105" s="17" t="s">
        <v>234</v>
      </c>
      <c r="I105" s="12">
        <v>680</v>
      </c>
      <c r="J105" s="50">
        <v>275.39999999999998</v>
      </c>
    </row>
    <row r="106" spans="6:10" x14ac:dyDescent="0.15">
      <c r="F106" s="48">
        <v>45496</v>
      </c>
      <c r="G106" s="49"/>
      <c r="H106" s="17" t="s">
        <v>235</v>
      </c>
      <c r="I106" s="12">
        <v>610</v>
      </c>
      <c r="J106" s="50">
        <v>658.59</v>
      </c>
    </row>
    <row r="107" spans="6:10" x14ac:dyDescent="0.15">
      <c r="F107" s="48">
        <v>45503</v>
      </c>
      <c r="G107" s="49" t="s">
        <v>159</v>
      </c>
      <c r="H107" s="17" t="s">
        <v>92</v>
      </c>
      <c r="I107" s="12">
        <v>610</v>
      </c>
      <c r="J107" s="50">
        <v>43.86</v>
      </c>
    </row>
    <row r="108" spans="6:10" x14ac:dyDescent="0.15">
      <c r="F108" s="48">
        <v>45504</v>
      </c>
      <c r="G108" s="49"/>
      <c r="H108" s="9" t="s">
        <v>1</v>
      </c>
      <c r="I108" s="12">
        <v>610</v>
      </c>
      <c r="J108" s="50">
        <v>270.74</v>
      </c>
    </row>
    <row r="109" spans="6:10" x14ac:dyDescent="0.15">
      <c r="F109" s="56"/>
      <c r="G109" s="57"/>
      <c r="H109" s="62" t="s">
        <v>236</v>
      </c>
      <c r="I109" s="63"/>
      <c r="J109" s="55">
        <f>SUM(J95:J108)</f>
        <v>2511.71</v>
      </c>
    </row>
    <row r="110" spans="6:10" x14ac:dyDescent="0.15">
      <c r="F110" s="48">
        <v>45505</v>
      </c>
      <c r="G110" s="49"/>
      <c r="H110" s="17" t="s">
        <v>95</v>
      </c>
      <c r="I110" s="12">
        <v>690</v>
      </c>
      <c r="J110" s="50">
        <f>18+12.1+12.1+2.75</f>
        <v>44.95</v>
      </c>
    </row>
    <row r="111" spans="6:10" x14ac:dyDescent="0.15">
      <c r="F111" s="48">
        <v>45506</v>
      </c>
      <c r="G111" s="49"/>
      <c r="H111" s="17" t="s">
        <v>0</v>
      </c>
      <c r="I111" s="12">
        <v>620</v>
      </c>
      <c r="J111" s="50">
        <v>49.81</v>
      </c>
    </row>
    <row r="112" spans="6:10" x14ac:dyDescent="0.15">
      <c r="F112" s="48">
        <v>45509</v>
      </c>
      <c r="G112" s="49" t="s">
        <v>164</v>
      </c>
      <c r="H112" s="17" t="s">
        <v>141</v>
      </c>
      <c r="I112" s="12">
        <v>620</v>
      </c>
      <c r="J112" s="50">
        <v>38</v>
      </c>
    </row>
    <row r="113" spans="6:10" x14ac:dyDescent="0.15">
      <c r="F113" s="48">
        <v>45520</v>
      </c>
      <c r="G113" s="49" t="s">
        <v>165</v>
      </c>
      <c r="H113" s="17" t="s">
        <v>93</v>
      </c>
      <c r="I113" s="12">
        <v>620</v>
      </c>
      <c r="J113" s="50">
        <v>43.45</v>
      </c>
    </row>
    <row r="114" spans="6:10" x14ac:dyDescent="0.15">
      <c r="F114" s="48">
        <v>45525</v>
      </c>
      <c r="G114" s="49" t="s">
        <v>166</v>
      </c>
      <c r="H114" s="17" t="s">
        <v>102</v>
      </c>
      <c r="I114" s="12">
        <v>620</v>
      </c>
      <c r="J114" s="50">
        <v>24.2</v>
      </c>
    </row>
    <row r="115" spans="6:10" x14ac:dyDescent="0.15">
      <c r="F115" s="48">
        <v>45526</v>
      </c>
      <c r="G115" s="49"/>
      <c r="H115" s="17" t="s">
        <v>163</v>
      </c>
      <c r="I115" s="12">
        <v>610</v>
      </c>
      <c r="J115" s="50">
        <v>658.59</v>
      </c>
    </row>
    <row r="116" spans="6:10" x14ac:dyDescent="0.15">
      <c r="F116" s="48">
        <v>45533</v>
      </c>
      <c r="G116" s="49" t="s">
        <v>167</v>
      </c>
      <c r="H116" s="17" t="s">
        <v>92</v>
      </c>
      <c r="I116" s="12">
        <v>610</v>
      </c>
      <c r="J116" s="50">
        <v>43.86</v>
      </c>
    </row>
    <row r="117" spans="6:10" x14ac:dyDescent="0.15">
      <c r="F117" s="48">
        <v>45534</v>
      </c>
      <c r="G117" s="49"/>
      <c r="H117" s="9" t="s">
        <v>1</v>
      </c>
      <c r="I117" s="12">
        <v>610</v>
      </c>
      <c r="J117" s="50">
        <v>270.74</v>
      </c>
    </row>
    <row r="118" spans="6:10" x14ac:dyDescent="0.15">
      <c r="F118" s="56"/>
      <c r="G118" s="57"/>
      <c r="H118" s="62" t="s">
        <v>237</v>
      </c>
      <c r="I118" s="63"/>
      <c r="J118" s="55">
        <f>SUM(J110:J117)</f>
        <v>1173.5999999999999</v>
      </c>
    </row>
    <row r="119" spans="6:10" x14ac:dyDescent="0.15">
      <c r="F119" s="48">
        <v>45536</v>
      </c>
      <c r="G119" s="49"/>
      <c r="H119" s="17" t="s">
        <v>95</v>
      </c>
      <c r="I119" s="12">
        <v>690</v>
      </c>
      <c r="J119" s="50">
        <f>2.4+0.5+1+0.21+1+0.21+12.1+12.1+2.75+15+15</f>
        <v>62.27</v>
      </c>
    </row>
    <row r="120" spans="6:10" x14ac:dyDescent="0.15">
      <c r="F120" s="48">
        <v>45537</v>
      </c>
      <c r="G120" s="49"/>
      <c r="H120" s="17" t="s">
        <v>248</v>
      </c>
      <c r="I120" s="12">
        <v>630</v>
      </c>
      <c r="J120" s="50">
        <f>300+500</f>
        <v>800</v>
      </c>
    </row>
    <row r="121" spans="6:10" x14ac:dyDescent="0.15">
      <c r="F121" s="48">
        <v>45539</v>
      </c>
      <c r="G121" s="49" t="s">
        <v>249</v>
      </c>
      <c r="H121" s="17" t="s">
        <v>141</v>
      </c>
      <c r="I121" s="12">
        <v>620</v>
      </c>
      <c r="J121" s="50">
        <v>38</v>
      </c>
    </row>
    <row r="122" spans="6:10" x14ac:dyDescent="0.15">
      <c r="F122" s="48">
        <v>45540</v>
      </c>
      <c r="G122" s="49" t="s">
        <v>250</v>
      </c>
      <c r="H122" s="17" t="s">
        <v>252</v>
      </c>
      <c r="I122" s="12">
        <v>630</v>
      </c>
      <c r="J122" s="50">
        <v>232.4</v>
      </c>
    </row>
    <row r="123" spans="6:10" x14ac:dyDescent="0.15">
      <c r="F123" s="48">
        <v>45540</v>
      </c>
      <c r="G123" s="49" t="s">
        <v>251</v>
      </c>
      <c r="H123" s="17" t="s">
        <v>252</v>
      </c>
      <c r="I123" s="12">
        <v>630</v>
      </c>
      <c r="J123" s="50">
        <v>697.2</v>
      </c>
    </row>
    <row r="124" spans="6:10" x14ac:dyDescent="0.15">
      <c r="F124" s="48">
        <v>45540</v>
      </c>
      <c r="G124" s="49" t="s">
        <v>253</v>
      </c>
      <c r="H124" s="17" t="s">
        <v>252</v>
      </c>
      <c r="I124" s="12">
        <v>630</v>
      </c>
      <c r="J124" s="50">
        <v>415</v>
      </c>
    </row>
    <row r="125" spans="6:10" x14ac:dyDescent="0.15">
      <c r="F125" s="48">
        <v>45540</v>
      </c>
      <c r="G125" s="49" t="s">
        <v>254</v>
      </c>
      <c r="H125" s="17" t="s">
        <v>252</v>
      </c>
      <c r="I125" s="12">
        <v>630</v>
      </c>
      <c r="J125" s="50">
        <v>415</v>
      </c>
    </row>
    <row r="126" spans="6:10" x14ac:dyDescent="0.15">
      <c r="F126" s="48">
        <v>45540</v>
      </c>
      <c r="G126" s="49" t="s">
        <v>255</v>
      </c>
      <c r="H126" s="17" t="s">
        <v>252</v>
      </c>
      <c r="I126" s="12">
        <v>630</v>
      </c>
      <c r="J126" s="50">
        <v>547.79999999999995</v>
      </c>
    </row>
    <row r="127" spans="6:10" x14ac:dyDescent="0.15">
      <c r="F127" s="48">
        <v>45540</v>
      </c>
      <c r="G127" s="49" t="s">
        <v>256</v>
      </c>
      <c r="H127" s="17" t="s">
        <v>252</v>
      </c>
      <c r="I127" s="12">
        <v>630</v>
      </c>
      <c r="J127" s="50">
        <v>448.2</v>
      </c>
    </row>
    <row r="128" spans="6:10" x14ac:dyDescent="0.15">
      <c r="F128" s="48">
        <v>45540</v>
      </c>
      <c r="G128" s="49" t="s">
        <v>257</v>
      </c>
      <c r="H128" s="17" t="s">
        <v>252</v>
      </c>
      <c r="I128" s="12">
        <v>630</v>
      </c>
      <c r="J128" s="50">
        <v>149.4</v>
      </c>
    </row>
    <row r="129" spans="6:10" x14ac:dyDescent="0.15">
      <c r="F129" s="48">
        <v>45540</v>
      </c>
      <c r="G129" s="49" t="s">
        <v>258</v>
      </c>
      <c r="H129" s="17" t="s">
        <v>252</v>
      </c>
      <c r="I129" s="12">
        <v>630</v>
      </c>
      <c r="J129" s="50">
        <v>415</v>
      </c>
    </row>
    <row r="130" spans="6:10" x14ac:dyDescent="0.15">
      <c r="F130" s="48">
        <v>45544</v>
      </c>
      <c r="G130" s="49" t="s">
        <v>260</v>
      </c>
      <c r="H130" s="17" t="s">
        <v>259</v>
      </c>
      <c r="I130" s="12">
        <v>620</v>
      </c>
      <c r="J130" s="50">
        <v>56.87</v>
      </c>
    </row>
    <row r="131" spans="6:10" x14ac:dyDescent="0.15">
      <c r="F131" s="48">
        <v>45545</v>
      </c>
      <c r="G131" s="49"/>
      <c r="H131" s="17" t="s">
        <v>0</v>
      </c>
      <c r="I131" s="12">
        <v>620</v>
      </c>
      <c r="J131" s="50">
        <v>49.81</v>
      </c>
    </row>
    <row r="132" spans="6:10" x14ac:dyDescent="0.15">
      <c r="F132" s="48">
        <v>45553</v>
      </c>
      <c r="G132" s="49"/>
      <c r="H132" s="17" t="s">
        <v>176</v>
      </c>
      <c r="I132" s="12">
        <v>690</v>
      </c>
      <c r="J132" s="50">
        <f>35+70</f>
        <v>105</v>
      </c>
    </row>
    <row r="133" spans="6:10" x14ac:dyDescent="0.15">
      <c r="F133" s="48">
        <v>45552</v>
      </c>
      <c r="G133" s="49" t="s">
        <v>261</v>
      </c>
      <c r="H133" s="17" t="s">
        <v>93</v>
      </c>
      <c r="I133" s="12">
        <v>620</v>
      </c>
      <c r="J133" s="50">
        <v>20.350000000000001</v>
      </c>
    </row>
    <row r="134" spans="6:10" x14ac:dyDescent="0.15">
      <c r="F134" s="48">
        <v>45555</v>
      </c>
      <c r="G134" s="49" t="s">
        <v>263</v>
      </c>
      <c r="H134" s="17" t="s">
        <v>102</v>
      </c>
      <c r="I134" s="12">
        <v>620</v>
      </c>
      <c r="J134" s="50">
        <v>24.2</v>
      </c>
    </row>
    <row r="135" spans="6:10" x14ac:dyDescent="0.15">
      <c r="F135" s="48">
        <v>45560</v>
      </c>
      <c r="G135" s="49"/>
      <c r="H135" s="17" t="s">
        <v>262</v>
      </c>
      <c r="I135" s="12">
        <v>610</v>
      </c>
      <c r="J135" s="50">
        <v>658.59</v>
      </c>
    </row>
    <row r="136" spans="6:10" x14ac:dyDescent="0.15">
      <c r="F136" s="48">
        <v>45560</v>
      </c>
      <c r="G136" s="49" t="s">
        <v>265</v>
      </c>
      <c r="H136" s="17" t="s">
        <v>92</v>
      </c>
      <c r="I136" s="12">
        <v>610</v>
      </c>
      <c r="J136" s="50">
        <v>43.86</v>
      </c>
    </row>
    <row r="137" spans="6:10" x14ac:dyDescent="0.15">
      <c r="F137" s="48">
        <v>45565</v>
      </c>
      <c r="G137" s="49"/>
      <c r="H137" s="9" t="s">
        <v>1</v>
      </c>
      <c r="I137" s="12">
        <v>610</v>
      </c>
      <c r="J137" s="50">
        <v>270.74</v>
      </c>
    </row>
    <row r="138" spans="6:10" x14ac:dyDescent="0.15">
      <c r="F138" s="56"/>
      <c r="G138" s="57"/>
      <c r="H138" s="62" t="s">
        <v>243</v>
      </c>
      <c r="I138" s="63"/>
      <c r="J138" s="55">
        <f>SUM(J119:J137)</f>
        <v>5449.6900000000005</v>
      </c>
    </row>
    <row r="139" spans="6:10" x14ac:dyDescent="0.15">
      <c r="F139" s="48">
        <v>45565</v>
      </c>
      <c r="G139" s="49"/>
      <c r="H139" s="17" t="s">
        <v>95</v>
      </c>
      <c r="I139" s="12">
        <v>690</v>
      </c>
      <c r="J139" s="50">
        <f>15+0.3+0.06+18+0.9+0.19+12.1+12.1+30+1.2+2.75+17.14</f>
        <v>109.74000000000001</v>
      </c>
    </row>
    <row r="140" spans="6:10" x14ac:dyDescent="0.15">
      <c r="F140" s="48">
        <v>45568</v>
      </c>
      <c r="G140" s="49"/>
      <c r="H140" s="17" t="s">
        <v>220</v>
      </c>
      <c r="I140" s="12"/>
      <c r="J140" s="50">
        <v>146.44</v>
      </c>
    </row>
    <row r="141" spans="6:10" x14ac:dyDescent="0.15">
      <c r="F141" s="48">
        <v>45569</v>
      </c>
      <c r="G141" s="49" t="s">
        <v>272</v>
      </c>
      <c r="H141" s="17" t="s">
        <v>141</v>
      </c>
      <c r="I141" s="12">
        <v>620</v>
      </c>
      <c r="J141" s="50">
        <v>38</v>
      </c>
    </row>
    <row r="142" spans="6:10" x14ac:dyDescent="0.15">
      <c r="F142" s="48">
        <v>45569</v>
      </c>
      <c r="G142" s="49"/>
      <c r="H142" s="17" t="s">
        <v>298</v>
      </c>
      <c r="I142" s="12">
        <v>620</v>
      </c>
      <c r="J142" s="50">
        <v>49.81</v>
      </c>
    </row>
    <row r="143" spans="6:10" x14ac:dyDescent="0.15">
      <c r="F143" s="48">
        <v>45573</v>
      </c>
      <c r="G143" s="49"/>
      <c r="H143" s="17" t="s">
        <v>248</v>
      </c>
      <c r="I143" s="12">
        <v>630</v>
      </c>
      <c r="J143" s="50">
        <f>175</f>
        <v>175</v>
      </c>
    </row>
    <row r="144" spans="6:10" x14ac:dyDescent="0.15">
      <c r="F144" s="48">
        <v>45573</v>
      </c>
      <c r="G144" s="49" t="s">
        <v>273</v>
      </c>
      <c r="H144" s="17" t="s">
        <v>274</v>
      </c>
      <c r="I144" s="12">
        <v>620</v>
      </c>
      <c r="J144" s="50">
        <v>56.87</v>
      </c>
    </row>
    <row r="145" spans="6:10" x14ac:dyDescent="0.15">
      <c r="F145" s="48">
        <v>45575</v>
      </c>
      <c r="G145" s="49" t="s">
        <v>275</v>
      </c>
      <c r="H145" s="17" t="s">
        <v>252</v>
      </c>
      <c r="I145" s="12">
        <v>630</v>
      </c>
      <c r="J145" s="50">
        <v>191.25</v>
      </c>
    </row>
    <row r="146" spans="6:10" x14ac:dyDescent="0.15">
      <c r="F146" s="48">
        <v>45575</v>
      </c>
      <c r="G146" s="49" t="s">
        <v>276</v>
      </c>
      <c r="H146" s="17" t="s">
        <v>252</v>
      </c>
      <c r="I146" s="12">
        <v>630</v>
      </c>
      <c r="J146" s="50">
        <v>63.75</v>
      </c>
    </row>
    <row r="147" spans="6:10" x14ac:dyDescent="0.15">
      <c r="F147" s="48">
        <v>45575</v>
      </c>
      <c r="G147" s="49" t="s">
        <v>277</v>
      </c>
      <c r="H147" s="17" t="s">
        <v>252</v>
      </c>
      <c r="I147" s="12">
        <v>630</v>
      </c>
      <c r="J147" s="50">
        <v>143.65</v>
      </c>
    </row>
    <row r="148" spans="6:10" x14ac:dyDescent="0.15">
      <c r="F148" s="48">
        <v>45575</v>
      </c>
      <c r="G148" s="49" t="s">
        <v>278</v>
      </c>
      <c r="H148" s="17" t="s">
        <v>252</v>
      </c>
      <c r="I148" s="12">
        <v>630</v>
      </c>
      <c r="J148" s="50">
        <v>860</v>
      </c>
    </row>
    <row r="149" spans="6:10" x14ac:dyDescent="0.15">
      <c r="F149" s="48">
        <v>45575</v>
      </c>
      <c r="G149" s="49" t="s">
        <v>279</v>
      </c>
      <c r="H149" s="17" t="s">
        <v>252</v>
      </c>
      <c r="I149" s="12">
        <v>630</v>
      </c>
      <c r="J149" s="50">
        <v>425</v>
      </c>
    </row>
    <row r="150" spans="6:10" x14ac:dyDescent="0.15">
      <c r="F150" s="48">
        <v>45575</v>
      </c>
      <c r="G150" s="49" t="s">
        <v>280</v>
      </c>
      <c r="H150" s="17" t="s">
        <v>252</v>
      </c>
      <c r="I150" s="12">
        <v>630</v>
      </c>
      <c r="J150" s="50">
        <v>255</v>
      </c>
    </row>
    <row r="151" spans="6:10" x14ac:dyDescent="0.15">
      <c r="F151" s="48">
        <v>45575</v>
      </c>
      <c r="G151" s="49" t="s">
        <v>281</v>
      </c>
      <c r="H151" s="17" t="s">
        <v>252</v>
      </c>
      <c r="I151" s="12">
        <v>630</v>
      </c>
      <c r="J151" s="50">
        <v>85</v>
      </c>
    </row>
    <row r="152" spans="6:10" x14ac:dyDescent="0.15">
      <c r="F152" s="48">
        <v>45575</v>
      </c>
      <c r="G152" s="49" t="s">
        <v>282</v>
      </c>
      <c r="H152" s="17" t="s">
        <v>252</v>
      </c>
      <c r="I152" s="12">
        <v>630</v>
      </c>
      <c r="J152" s="50">
        <v>136</v>
      </c>
    </row>
    <row r="153" spans="6:10" x14ac:dyDescent="0.15">
      <c r="F153" s="48">
        <v>45575</v>
      </c>
      <c r="G153" s="49" t="s">
        <v>283</v>
      </c>
      <c r="H153" s="17" t="s">
        <v>252</v>
      </c>
      <c r="I153" s="12">
        <v>630</v>
      </c>
      <c r="J153" s="50">
        <v>408</v>
      </c>
    </row>
    <row r="154" spans="6:10" x14ac:dyDescent="0.15">
      <c r="F154" s="48">
        <v>45575</v>
      </c>
      <c r="G154" s="49" t="s">
        <v>284</v>
      </c>
      <c r="H154" s="17" t="s">
        <v>252</v>
      </c>
      <c r="I154" s="12">
        <v>630</v>
      </c>
      <c r="J154" s="50">
        <v>391</v>
      </c>
    </row>
    <row r="155" spans="6:10" x14ac:dyDescent="0.15">
      <c r="F155" s="48">
        <v>45575</v>
      </c>
      <c r="G155" s="49" t="s">
        <v>285</v>
      </c>
      <c r="H155" s="17" t="s">
        <v>252</v>
      </c>
      <c r="I155" s="12">
        <v>630</v>
      </c>
      <c r="J155" s="50">
        <v>425</v>
      </c>
    </row>
    <row r="156" spans="6:10" x14ac:dyDescent="0.15">
      <c r="F156" s="48">
        <v>45575</v>
      </c>
      <c r="G156" s="49" t="s">
        <v>286</v>
      </c>
      <c r="H156" s="17" t="s">
        <v>252</v>
      </c>
      <c r="I156" s="12">
        <v>630</v>
      </c>
      <c r="J156" s="50">
        <v>170</v>
      </c>
    </row>
    <row r="157" spans="6:10" x14ac:dyDescent="0.15">
      <c r="F157" s="48">
        <v>45575</v>
      </c>
      <c r="G157" s="49" t="s">
        <v>287</v>
      </c>
      <c r="H157" s="17" t="s">
        <v>252</v>
      </c>
      <c r="I157" s="12">
        <v>630</v>
      </c>
      <c r="J157" s="50">
        <v>170</v>
      </c>
    </row>
    <row r="158" spans="6:10" x14ac:dyDescent="0.15">
      <c r="F158" s="48">
        <v>45577</v>
      </c>
      <c r="G158" s="49"/>
      <c r="H158" s="17" t="s">
        <v>297</v>
      </c>
      <c r="I158" s="12">
        <v>620</v>
      </c>
      <c r="J158" s="50">
        <v>34.15</v>
      </c>
    </row>
    <row r="159" spans="6:10" x14ac:dyDescent="0.15">
      <c r="F159" s="48">
        <v>45579</v>
      </c>
      <c r="G159" s="49" t="s">
        <v>290</v>
      </c>
      <c r="H159" s="17" t="s">
        <v>296</v>
      </c>
      <c r="I159" s="12">
        <v>660</v>
      </c>
      <c r="J159" s="50">
        <v>129.65</v>
      </c>
    </row>
    <row r="160" spans="6:10" x14ac:dyDescent="0.15">
      <c r="F160" s="48">
        <v>45580</v>
      </c>
      <c r="G160" s="49" t="s">
        <v>292</v>
      </c>
      <c r="H160" s="17" t="s">
        <v>93</v>
      </c>
      <c r="I160" s="12">
        <v>620</v>
      </c>
      <c r="J160" s="50">
        <v>27.65</v>
      </c>
    </row>
    <row r="161" spans="6:10" x14ac:dyDescent="0.15">
      <c r="F161" s="48">
        <v>45586</v>
      </c>
      <c r="G161" s="49"/>
      <c r="H161" s="17" t="s">
        <v>288</v>
      </c>
      <c r="I161" s="12">
        <v>630</v>
      </c>
      <c r="J161" s="50">
        <v>1133.1099999999999</v>
      </c>
    </row>
    <row r="162" spans="6:10" x14ac:dyDescent="0.15">
      <c r="F162" s="48">
        <v>45586</v>
      </c>
      <c r="G162" s="49" t="s">
        <v>293</v>
      </c>
      <c r="H162" s="17" t="s">
        <v>289</v>
      </c>
      <c r="I162" s="12">
        <v>670</v>
      </c>
      <c r="J162" s="50">
        <v>619.20000000000005</v>
      </c>
    </row>
    <row r="163" spans="6:10" x14ac:dyDescent="0.15">
      <c r="F163" s="48">
        <v>45587</v>
      </c>
      <c r="G163" s="49" t="s">
        <v>294</v>
      </c>
      <c r="H163" s="17" t="s">
        <v>102</v>
      </c>
      <c r="I163" s="12">
        <v>620</v>
      </c>
      <c r="J163" s="50">
        <v>24.2</v>
      </c>
    </row>
    <row r="164" spans="6:10" x14ac:dyDescent="0.15">
      <c r="F164" s="48">
        <v>45587</v>
      </c>
      <c r="G164" s="49" t="s">
        <v>295</v>
      </c>
      <c r="H164" s="17" t="s">
        <v>291</v>
      </c>
      <c r="I164" s="12">
        <v>620</v>
      </c>
      <c r="J164" s="50">
        <v>36.299999999999997</v>
      </c>
    </row>
    <row r="165" spans="6:10" x14ac:dyDescent="0.15">
      <c r="F165" s="48">
        <v>45590</v>
      </c>
      <c r="G165" s="49"/>
      <c r="H165" s="17" t="s">
        <v>300</v>
      </c>
      <c r="I165" s="12">
        <v>610</v>
      </c>
      <c r="J165" s="50">
        <v>658.59</v>
      </c>
    </row>
    <row r="166" spans="6:10" x14ac:dyDescent="0.15">
      <c r="F166" s="48">
        <v>45595</v>
      </c>
      <c r="G166" s="49" t="s">
        <v>299</v>
      </c>
      <c r="H166" s="17" t="s">
        <v>92</v>
      </c>
      <c r="I166" s="12">
        <v>610</v>
      </c>
      <c r="J166" s="50">
        <v>43.86</v>
      </c>
    </row>
    <row r="167" spans="6:10" x14ac:dyDescent="0.15">
      <c r="F167" s="48">
        <v>45596</v>
      </c>
      <c r="G167" s="49"/>
      <c r="H167" s="9" t="s">
        <v>1</v>
      </c>
      <c r="I167" s="12">
        <v>610</v>
      </c>
      <c r="J167" s="50">
        <v>270.74</v>
      </c>
    </row>
    <row r="168" spans="6:10" x14ac:dyDescent="0.15">
      <c r="F168" s="56"/>
      <c r="G168" s="57"/>
      <c r="H168" s="62" t="s">
        <v>270</v>
      </c>
      <c r="I168" s="63"/>
      <c r="J168" s="55">
        <f>SUM(J139:J167)</f>
        <v>7276.9599999999982</v>
      </c>
    </row>
  </sheetData>
  <mergeCells count="24">
    <mergeCell ref="H94:I94"/>
    <mergeCell ref="B47:C47"/>
    <mergeCell ref="B52:C52"/>
    <mergeCell ref="B40:C40"/>
    <mergeCell ref="B42:C42"/>
    <mergeCell ref="H45:I45"/>
    <mergeCell ref="H59:I59"/>
    <mergeCell ref="H78:I78"/>
    <mergeCell ref="H168:I168"/>
    <mergeCell ref="B36:C36"/>
    <mergeCell ref="B1:C1"/>
    <mergeCell ref="H1:I1"/>
    <mergeCell ref="A8:D8"/>
    <mergeCell ref="F8:J8"/>
    <mergeCell ref="B14:C14"/>
    <mergeCell ref="B18:C18"/>
    <mergeCell ref="H20:I20"/>
    <mergeCell ref="B24:C24"/>
    <mergeCell ref="B28:C28"/>
    <mergeCell ref="H31:I31"/>
    <mergeCell ref="B32:C32"/>
    <mergeCell ref="H138:I138"/>
    <mergeCell ref="H109:I109"/>
    <mergeCell ref="H118:I118"/>
  </mergeCells>
  <pageMargins left="0" right="0" top="0.15748031496062992" bottom="0.15748031496062992" header="0.11811023622047245" footer="0.1181102362204724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97"/>
  <sheetViews>
    <sheetView topLeftCell="A9" zoomScale="136" zoomScaleNormal="136" workbookViewId="0">
      <selection activeCell="F17" sqref="F17"/>
    </sheetView>
  </sheetViews>
  <sheetFormatPr baseColWidth="10" defaultRowHeight="9.75" x14ac:dyDescent="0.15"/>
  <cols>
    <col min="1" max="1" width="22.7109375" style="1" bestFit="1" customWidth="1"/>
    <col min="2" max="2" width="9.42578125" style="1" bestFit="1" customWidth="1"/>
    <col min="3" max="3" width="9.140625" style="1" bestFit="1" customWidth="1"/>
    <col min="4" max="4" width="7.7109375" style="1" bestFit="1" customWidth="1"/>
    <col min="5" max="5" width="7.85546875" style="1" bestFit="1" customWidth="1"/>
    <col min="6" max="7" width="8.140625" style="1" bestFit="1" customWidth="1"/>
    <col min="8" max="8" width="8.140625" style="1" customWidth="1"/>
    <col min="9" max="9" width="8.5703125" style="1" bestFit="1" customWidth="1"/>
    <col min="10" max="10" width="8.140625" style="1" bestFit="1" customWidth="1"/>
    <col min="11" max="11" width="8.85546875" style="1" customWidth="1"/>
    <col min="12" max="13" width="8" style="1" hidden="1" customWidth="1"/>
    <col min="14" max="14" width="7.5703125" style="1" hidden="1" customWidth="1"/>
    <col min="15" max="15" width="9.140625" style="1" bestFit="1" customWidth="1"/>
    <col min="16" max="16" width="7.28515625" style="5" hidden="1" customWidth="1"/>
    <col min="17" max="17" width="47.7109375" style="1" hidden="1" customWidth="1"/>
    <col min="18" max="16384" width="11.42578125" style="1"/>
  </cols>
  <sheetData>
    <row r="1" spans="1:18" ht="8.1" customHeight="1" x14ac:dyDescent="0.2">
      <c r="A1" s="3"/>
      <c r="B1" s="4"/>
      <c r="C1" s="4"/>
    </row>
    <row r="2" spans="1:18" s="2" customFormat="1" x14ac:dyDescent="0.15">
      <c r="A2" s="71" t="s">
        <v>96</v>
      </c>
      <c r="B2" s="58"/>
      <c r="P2" s="6"/>
    </row>
    <row r="3" spans="1:18" s="2" customFormat="1" x14ac:dyDescent="0.15">
      <c r="A3" s="72"/>
      <c r="B3" s="59" t="s">
        <v>2</v>
      </c>
      <c r="C3" s="59" t="s">
        <v>91</v>
      </c>
      <c r="D3" s="59" t="s">
        <v>90</v>
      </c>
      <c r="E3" s="59" t="s">
        <v>89</v>
      </c>
      <c r="F3" s="59" t="s">
        <v>88</v>
      </c>
      <c r="G3" s="59" t="s">
        <v>87</v>
      </c>
      <c r="H3" s="59" t="s">
        <v>86</v>
      </c>
      <c r="I3" s="59" t="s">
        <v>85</v>
      </c>
      <c r="J3" s="59" t="s">
        <v>84</v>
      </c>
      <c r="K3" s="59" t="s">
        <v>83</v>
      </c>
      <c r="L3" s="59" t="s">
        <v>82</v>
      </c>
      <c r="M3" s="59" t="s">
        <v>81</v>
      </c>
      <c r="N3" s="59" t="s">
        <v>80</v>
      </c>
      <c r="O3" s="59" t="s">
        <v>3</v>
      </c>
      <c r="P3" s="6"/>
    </row>
    <row r="4" spans="1:18" s="14" customFormat="1" ht="9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</row>
    <row r="5" spans="1:18" s="14" customFormat="1" ht="9" x14ac:dyDescent="0.15">
      <c r="A5" s="15" t="s">
        <v>12</v>
      </c>
      <c r="B5" s="16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3"/>
    </row>
    <row r="6" spans="1:18" s="14" customFormat="1" ht="9" x14ac:dyDescent="0.15">
      <c r="A6" s="17" t="s">
        <v>59</v>
      </c>
      <c r="B6" s="18">
        <v>17484</v>
      </c>
      <c r="C6" s="19">
        <v>9580</v>
      </c>
      <c r="D6" s="19">
        <v>251</v>
      </c>
      <c r="E6" s="19">
        <v>140</v>
      </c>
      <c r="F6" s="19">
        <v>0</v>
      </c>
      <c r="G6" s="19">
        <v>0</v>
      </c>
      <c r="H6" s="19">
        <v>0</v>
      </c>
      <c r="I6" s="19">
        <v>10178</v>
      </c>
      <c r="J6" s="19">
        <v>0</v>
      </c>
      <c r="K6" s="19">
        <v>280</v>
      </c>
      <c r="L6" s="19">
        <v>0</v>
      </c>
      <c r="M6" s="19">
        <v>0</v>
      </c>
      <c r="N6" s="19">
        <v>0</v>
      </c>
      <c r="O6" s="18">
        <f>SUM(C6:N6)</f>
        <v>20429</v>
      </c>
      <c r="P6" s="13">
        <v>16187</v>
      </c>
    </row>
    <row r="7" spans="1:18" s="14" customFormat="1" ht="9" hidden="1" x14ac:dyDescent="0.15">
      <c r="A7" s="17" t="s">
        <v>5</v>
      </c>
      <c r="B7" s="18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8">
        <f>SUM(C7:N7)</f>
        <v>0</v>
      </c>
      <c r="P7" s="13">
        <v>0</v>
      </c>
    </row>
    <row r="8" spans="1:18" s="14" customFormat="1" ht="9" hidden="1" x14ac:dyDescent="0.15">
      <c r="A8" s="17" t="s">
        <v>66</v>
      </c>
      <c r="B8" s="18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8">
        <f>SUM(C8:N8)</f>
        <v>0</v>
      </c>
      <c r="P8" s="13">
        <v>35</v>
      </c>
    </row>
    <row r="9" spans="1:18" s="14" customFormat="1" ht="9" x14ac:dyDescent="0.15">
      <c r="A9" s="15" t="s">
        <v>44</v>
      </c>
      <c r="B9" s="20">
        <f>SUM(B6:B8)</f>
        <v>17484</v>
      </c>
      <c r="C9" s="20">
        <f>(C6+C7+C8)</f>
        <v>9580</v>
      </c>
      <c r="D9" s="20">
        <f t="shared" ref="D9:N9" si="0">(D6+D7+D8)</f>
        <v>251</v>
      </c>
      <c r="E9" s="20">
        <f t="shared" si="0"/>
        <v>140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10178</v>
      </c>
      <c r="J9" s="20">
        <f t="shared" si="0"/>
        <v>0</v>
      </c>
      <c r="K9" s="20">
        <f t="shared" si="0"/>
        <v>280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20">
        <f>SUM(C9:N9)</f>
        <v>20429</v>
      </c>
      <c r="P9" s="13">
        <v>16222</v>
      </c>
    </row>
    <row r="10" spans="1:18" s="14" customFormat="1" ht="9" x14ac:dyDescent="0.15">
      <c r="A10" s="15" t="s">
        <v>63</v>
      </c>
      <c r="B10" s="21"/>
      <c r="C10" s="21"/>
      <c r="D10" s="22"/>
      <c r="E10" s="22"/>
      <c r="F10" s="22"/>
      <c r="G10" s="22"/>
      <c r="H10" s="22" t="s">
        <v>4</v>
      </c>
      <c r="I10" s="22"/>
      <c r="J10" s="22"/>
      <c r="K10" s="22"/>
      <c r="L10" s="22"/>
      <c r="M10" s="22"/>
      <c r="N10" s="22"/>
      <c r="O10" s="23"/>
      <c r="P10" s="13"/>
    </row>
    <row r="11" spans="1:18" s="14" customFormat="1" ht="9" x14ac:dyDescent="0.15">
      <c r="A11" s="17" t="s">
        <v>6</v>
      </c>
      <c r="B11" s="18">
        <v>450</v>
      </c>
      <c r="C11" s="19">
        <v>60</v>
      </c>
      <c r="D11" s="19">
        <v>30</v>
      </c>
      <c r="E11" s="19">
        <v>170</v>
      </c>
      <c r="F11" s="19">
        <v>60</v>
      </c>
      <c r="G11" s="19">
        <f>20*2+30*3</f>
        <v>130</v>
      </c>
      <c r="H11" s="19">
        <v>140</v>
      </c>
      <c r="I11" s="19">
        <v>0</v>
      </c>
      <c r="J11" s="19">
        <v>0</v>
      </c>
      <c r="K11" s="19">
        <v>80</v>
      </c>
      <c r="L11" s="19">
        <v>0</v>
      </c>
      <c r="M11" s="19">
        <v>0</v>
      </c>
      <c r="N11" s="19">
        <v>0</v>
      </c>
      <c r="O11" s="18">
        <f>SUM(C11:N11)</f>
        <v>670</v>
      </c>
      <c r="P11" s="13">
        <v>580</v>
      </c>
      <c r="Q11" s="47" t="s">
        <v>142</v>
      </c>
      <c r="R11" s="13"/>
    </row>
    <row r="12" spans="1:18" s="14" customFormat="1" ht="9" x14ac:dyDescent="0.15">
      <c r="A12" s="17" t="s">
        <v>51</v>
      </c>
      <c r="B12" s="18">
        <v>1050</v>
      </c>
      <c r="C12" s="19">
        <v>70</v>
      </c>
      <c r="D12" s="19">
        <v>35</v>
      </c>
      <c r="E12" s="19">
        <v>105.5</v>
      </c>
      <c r="F12" s="19">
        <v>35</v>
      </c>
      <c r="G12" s="19">
        <f>4.5*1+3*1+7*3</f>
        <v>28.5</v>
      </c>
      <c r="H12" s="19">
        <v>3</v>
      </c>
      <c r="I12" s="19">
        <v>0</v>
      </c>
      <c r="J12" s="19">
        <v>0</v>
      </c>
      <c r="K12" s="19">
        <v>51</v>
      </c>
      <c r="L12" s="19">
        <v>0</v>
      </c>
      <c r="M12" s="19">
        <v>0</v>
      </c>
      <c r="N12" s="19">
        <v>0</v>
      </c>
      <c r="O12" s="18">
        <f>SUM(C12:N12)</f>
        <v>328</v>
      </c>
      <c r="P12" s="13">
        <v>329.5</v>
      </c>
      <c r="Q12" s="47" t="s">
        <v>143</v>
      </c>
    </row>
    <row r="13" spans="1:18" s="14" customFormat="1" ht="9" x14ac:dyDescent="0.15">
      <c r="A13" s="15" t="s">
        <v>44</v>
      </c>
      <c r="B13" s="20">
        <f>+(B11+B12)</f>
        <v>1500</v>
      </c>
      <c r="C13" s="24">
        <f>SUM(C11:C12)</f>
        <v>130</v>
      </c>
      <c r="D13" s="24">
        <f>SUM(D11:D12)</f>
        <v>65</v>
      </c>
      <c r="E13" s="24">
        <f t="shared" ref="E13:N13" si="1">SUM(E11:E12)</f>
        <v>275.5</v>
      </c>
      <c r="F13" s="24">
        <f t="shared" si="1"/>
        <v>95</v>
      </c>
      <c r="G13" s="24">
        <f t="shared" si="1"/>
        <v>158.5</v>
      </c>
      <c r="H13" s="24">
        <f t="shared" si="1"/>
        <v>143</v>
      </c>
      <c r="I13" s="24">
        <f t="shared" si="1"/>
        <v>0</v>
      </c>
      <c r="J13" s="24">
        <f t="shared" si="1"/>
        <v>0</v>
      </c>
      <c r="K13" s="24">
        <f t="shared" si="1"/>
        <v>131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20">
        <f>SUM(C13:N13)</f>
        <v>998</v>
      </c>
      <c r="P13" s="13">
        <v>909.5</v>
      </c>
    </row>
    <row r="14" spans="1:18" s="14" customFormat="1" ht="9" hidden="1" x14ac:dyDescent="0.15">
      <c r="A14" s="15" t="s">
        <v>64</v>
      </c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13"/>
    </row>
    <row r="15" spans="1:18" s="14" customFormat="1" ht="9" hidden="1" x14ac:dyDescent="0.15">
      <c r="A15" s="17" t="s">
        <v>7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f>SUM(C15:N15)</f>
        <v>0</v>
      </c>
      <c r="P15" s="13">
        <v>0</v>
      </c>
    </row>
    <row r="16" spans="1:18" s="14" customFormat="1" ht="9" hidden="1" x14ac:dyDescent="0.15">
      <c r="A16" s="15" t="s">
        <v>44</v>
      </c>
      <c r="B16" s="20">
        <f>+B15</f>
        <v>0</v>
      </c>
      <c r="C16" s="20">
        <f t="shared" ref="C16:N16" si="2">+C15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>SUM(C16:N16)</f>
        <v>0</v>
      </c>
      <c r="P16" s="13">
        <v>0</v>
      </c>
    </row>
    <row r="17" spans="1:49" s="14" customFormat="1" ht="9" x14ac:dyDescent="0.15">
      <c r="A17" s="15" t="s">
        <v>13</v>
      </c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  <c r="P17" s="13"/>
    </row>
    <row r="18" spans="1:49" s="14" customFormat="1" ht="9" x14ac:dyDescent="0.15">
      <c r="A18" s="17" t="s">
        <v>101</v>
      </c>
      <c r="B18" s="18">
        <v>1250</v>
      </c>
      <c r="C18" s="19">
        <v>700</v>
      </c>
      <c r="D18" s="19">
        <v>225</v>
      </c>
      <c r="E18" s="19">
        <v>350</v>
      </c>
      <c r="F18" s="19">
        <v>125</v>
      </c>
      <c r="G18" s="19">
        <v>175</v>
      </c>
      <c r="H18" s="19">
        <v>250</v>
      </c>
      <c r="I18" s="19">
        <v>0</v>
      </c>
      <c r="J18" s="19">
        <v>0</v>
      </c>
      <c r="K18" s="19">
        <v>60</v>
      </c>
      <c r="L18" s="19">
        <v>0</v>
      </c>
      <c r="M18" s="19">
        <v>0</v>
      </c>
      <c r="N18" s="19">
        <v>0</v>
      </c>
      <c r="O18" s="18">
        <f>SUM(C18:N18)</f>
        <v>1885</v>
      </c>
      <c r="P18" s="13">
        <v>3840</v>
      </c>
      <c r="Q18" s="13"/>
    </row>
    <row r="19" spans="1:49" s="14" customFormat="1" ht="9" x14ac:dyDescent="0.15">
      <c r="A19" s="17" t="s">
        <v>100</v>
      </c>
      <c r="B19" s="18">
        <v>0</v>
      </c>
      <c r="C19" s="19">
        <v>0</v>
      </c>
      <c r="D19" s="19">
        <v>0</v>
      </c>
      <c r="E19" s="19">
        <v>900</v>
      </c>
      <c r="F19" s="19">
        <v>1800</v>
      </c>
      <c r="G19" s="19">
        <v>5400</v>
      </c>
      <c r="H19" s="19">
        <v>1975</v>
      </c>
      <c r="I19" s="19">
        <v>1700</v>
      </c>
      <c r="J19" s="19">
        <v>2389</v>
      </c>
      <c r="K19" s="19">
        <v>6375</v>
      </c>
      <c r="L19" s="19">
        <v>0</v>
      </c>
      <c r="M19" s="19">
        <v>0</v>
      </c>
      <c r="N19" s="19">
        <v>0</v>
      </c>
      <c r="O19" s="18">
        <f>SUM(B19:N19)</f>
        <v>20539</v>
      </c>
      <c r="P19" s="13"/>
      <c r="Q19" s="13"/>
    </row>
    <row r="20" spans="1:49" s="14" customFormat="1" ht="9" x14ac:dyDescent="0.15">
      <c r="A20" s="15" t="s">
        <v>44</v>
      </c>
      <c r="B20" s="20">
        <f t="shared" ref="B20:G20" si="3">SUM(B18:B19)</f>
        <v>1250</v>
      </c>
      <c r="C20" s="20">
        <f t="shared" si="3"/>
        <v>700</v>
      </c>
      <c r="D20" s="20">
        <f t="shared" si="3"/>
        <v>225</v>
      </c>
      <c r="E20" s="20">
        <f t="shared" si="3"/>
        <v>1250</v>
      </c>
      <c r="F20" s="20">
        <f t="shared" si="3"/>
        <v>1925</v>
      </c>
      <c r="G20" s="20">
        <f t="shared" si="3"/>
        <v>5575</v>
      </c>
      <c r="H20" s="20">
        <f>SUM(H18:H19)</f>
        <v>2225</v>
      </c>
      <c r="I20" s="20">
        <f t="shared" ref="I20:N20" si="4">SUM(I18:I19)</f>
        <v>1700</v>
      </c>
      <c r="J20" s="20">
        <f t="shared" si="4"/>
        <v>2389</v>
      </c>
      <c r="K20" s="20">
        <f t="shared" si="4"/>
        <v>6435</v>
      </c>
      <c r="L20" s="20">
        <f t="shared" si="4"/>
        <v>0</v>
      </c>
      <c r="M20" s="20">
        <f t="shared" si="4"/>
        <v>0</v>
      </c>
      <c r="N20" s="20">
        <f t="shared" si="4"/>
        <v>0</v>
      </c>
      <c r="O20" s="20">
        <f>SUM(O18:O19)</f>
        <v>22424</v>
      </c>
      <c r="P20" s="13">
        <v>3840</v>
      </c>
      <c r="Q20" s="13"/>
    </row>
    <row r="21" spans="1:49" s="14" customFormat="1" ht="9" hidden="1" x14ac:dyDescent="0.15">
      <c r="A21" s="15" t="s">
        <v>65</v>
      </c>
      <c r="B21" s="2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13"/>
    </row>
    <row r="22" spans="1:49" s="14" customFormat="1" ht="9" hidden="1" x14ac:dyDescent="0.15">
      <c r="A22" s="17" t="s">
        <v>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3">
        <v>0.16</v>
      </c>
    </row>
    <row r="23" spans="1:49" s="14" customFormat="1" ht="9" hidden="1" x14ac:dyDescent="0.15">
      <c r="A23" s="15" t="s">
        <v>44</v>
      </c>
      <c r="B23" s="20">
        <f>+B22</f>
        <v>0</v>
      </c>
      <c r="C23" s="20">
        <f>C22</f>
        <v>0</v>
      </c>
      <c r="D23" s="20">
        <f t="shared" ref="D23:N23" si="5">D22</f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>
        <f t="shared" si="5"/>
        <v>0</v>
      </c>
      <c r="M23" s="20">
        <f t="shared" si="5"/>
        <v>0</v>
      </c>
      <c r="N23" s="20">
        <f t="shared" si="5"/>
        <v>0</v>
      </c>
      <c r="O23" s="20">
        <f>SUM(C23:N23)</f>
        <v>0</v>
      </c>
      <c r="P23" s="25">
        <v>0.16</v>
      </c>
      <c r="Q23" s="26" t="s">
        <v>4</v>
      </c>
      <c r="R23" s="26" t="s">
        <v>4</v>
      </c>
      <c r="S23" s="26" t="s">
        <v>4</v>
      </c>
      <c r="T23" s="26" t="s">
        <v>4</v>
      </c>
      <c r="U23" s="26" t="s">
        <v>4</v>
      </c>
      <c r="V23" s="26" t="s">
        <v>4</v>
      </c>
      <c r="W23" s="26" t="s">
        <v>4</v>
      </c>
      <c r="X23" s="26" t="s">
        <v>4</v>
      </c>
      <c r="Y23" s="26" t="s">
        <v>4</v>
      </c>
      <c r="Z23" s="26" t="s">
        <v>4</v>
      </c>
      <c r="AA23" s="26" t="s">
        <v>4</v>
      </c>
      <c r="AB23" s="26" t="s">
        <v>4</v>
      </c>
      <c r="AC23" s="26" t="s">
        <v>4</v>
      </c>
      <c r="AD23" s="26" t="s">
        <v>4</v>
      </c>
      <c r="AE23" s="26" t="s">
        <v>4</v>
      </c>
      <c r="AF23" s="26" t="s">
        <v>4</v>
      </c>
      <c r="AG23" s="26" t="s">
        <v>4</v>
      </c>
      <c r="AH23" s="26" t="s">
        <v>4</v>
      </c>
      <c r="AI23" s="26" t="s">
        <v>4</v>
      </c>
      <c r="AJ23" s="26" t="s">
        <v>4</v>
      </c>
      <c r="AK23" s="26" t="s">
        <v>4</v>
      </c>
      <c r="AL23" s="26" t="s">
        <v>4</v>
      </c>
      <c r="AM23" s="26" t="s">
        <v>4</v>
      </c>
      <c r="AN23" s="26" t="s">
        <v>4</v>
      </c>
      <c r="AO23" s="26" t="s">
        <v>4</v>
      </c>
      <c r="AP23" s="26" t="s">
        <v>4</v>
      </c>
      <c r="AQ23" s="26" t="s">
        <v>4</v>
      </c>
      <c r="AR23" s="26" t="s">
        <v>4</v>
      </c>
      <c r="AS23" s="26" t="s">
        <v>4</v>
      </c>
      <c r="AT23" s="26" t="s">
        <v>4</v>
      </c>
      <c r="AU23" s="26" t="s">
        <v>4</v>
      </c>
      <c r="AV23" s="14" t="s">
        <v>4</v>
      </c>
      <c r="AW23" s="14" t="s">
        <v>4</v>
      </c>
    </row>
    <row r="24" spans="1:49" s="14" customFormat="1" ht="9" x14ac:dyDescent="0.15">
      <c r="A24" s="15" t="s">
        <v>14</v>
      </c>
      <c r="B24" s="21"/>
      <c r="C24" s="21"/>
      <c r="D24" s="22"/>
      <c r="E24" s="22"/>
      <c r="F24" s="22"/>
      <c r="G24" s="22"/>
      <c r="H24" s="22" t="s">
        <v>4</v>
      </c>
      <c r="I24" s="22"/>
      <c r="J24" s="22"/>
      <c r="K24" s="22"/>
      <c r="L24" s="22"/>
      <c r="M24" s="22"/>
      <c r="N24" s="22"/>
      <c r="O24" s="23"/>
      <c r="P24" s="13"/>
    </row>
    <row r="25" spans="1:49" s="14" customFormat="1" ht="9" x14ac:dyDescent="0.15">
      <c r="A25" s="27" t="s">
        <v>58</v>
      </c>
      <c r="B25" s="18">
        <v>0</v>
      </c>
      <c r="C25" s="18">
        <v>10210.99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8">
        <f t="shared" ref="O25:O31" si="6">SUM(C25:N25)</f>
        <v>10210.99</v>
      </c>
      <c r="P25" s="13">
        <v>9241.1</v>
      </c>
    </row>
    <row r="26" spans="1:49" s="14" customFormat="1" ht="9" hidden="1" x14ac:dyDescent="0.15">
      <c r="A26" s="27" t="s">
        <v>60</v>
      </c>
      <c r="B26" s="18">
        <v>0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8">
        <f t="shared" si="6"/>
        <v>0</v>
      </c>
      <c r="P26" s="13">
        <v>0</v>
      </c>
    </row>
    <row r="27" spans="1:49" s="14" customFormat="1" ht="9" hidden="1" x14ac:dyDescent="0.15">
      <c r="A27" s="27" t="s">
        <v>9</v>
      </c>
      <c r="B27" s="18">
        <v>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8">
        <f t="shared" si="6"/>
        <v>0</v>
      </c>
      <c r="P27" s="13">
        <v>0</v>
      </c>
    </row>
    <row r="28" spans="1:49" s="14" customFormat="1" ht="9" hidden="1" x14ac:dyDescent="0.15">
      <c r="A28" s="27" t="s">
        <v>10</v>
      </c>
      <c r="B28" s="18">
        <v>600</v>
      </c>
      <c r="C28" s="18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8">
        <f t="shared" si="6"/>
        <v>0</v>
      </c>
      <c r="P28" s="13">
        <v>600</v>
      </c>
    </row>
    <row r="29" spans="1:49" s="14" customFormat="1" ht="9" hidden="1" x14ac:dyDescent="0.15">
      <c r="A29" s="27" t="s">
        <v>61</v>
      </c>
      <c r="B29" s="18">
        <v>7000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8">
        <f t="shared" si="6"/>
        <v>0</v>
      </c>
      <c r="P29" s="13">
        <v>8650</v>
      </c>
    </row>
    <row r="30" spans="1:49" s="14" customFormat="1" ht="9" x14ac:dyDescent="0.15">
      <c r="A30" s="27" t="s">
        <v>11</v>
      </c>
      <c r="B30" s="18">
        <v>0</v>
      </c>
      <c r="C30" s="18">
        <v>0</v>
      </c>
      <c r="D30" s="19">
        <v>0</v>
      </c>
      <c r="E30" s="19">
        <v>1.57</v>
      </c>
      <c r="F30" s="19">
        <v>0</v>
      </c>
      <c r="G30" s="19">
        <v>0</v>
      </c>
      <c r="H30" s="19">
        <v>0</v>
      </c>
      <c r="I30" s="19">
        <v>2.52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8">
        <f t="shared" si="6"/>
        <v>4.09</v>
      </c>
      <c r="P30" s="13">
        <v>50.089999999999996</v>
      </c>
    </row>
    <row r="31" spans="1:49" s="14" customFormat="1" ht="9" x14ac:dyDescent="0.15">
      <c r="A31" s="15" t="s">
        <v>44</v>
      </c>
      <c r="B31" s="20">
        <f>SUM(B25:B30)</f>
        <v>7600</v>
      </c>
      <c r="C31" s="20">
        <f t="shared" ref="C31:N31" si="7">SUM(C25:C30)</f>
        <v>10210.99</v>
      </c>
      <c r="D31" s="20">
        <f t="shared" si="7"/>
        <v>0</v>
      </c>
      <c r="E31" s="20">
        <f t="shared" si="7"/>
        <v>1.57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20">
        <f t="shared" si="7"/>
        <v>2.52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  <c r="N31" s="20">
        <f t="shared" si="7"/>
        <v>0</v>
      </c>
      <c r="O31" s="20">
        <f t="shared" si="6"/>
        <v>10215.08</v>
      </c>
      <c r="P31" s="13">
        <v>18541.189999999999</v>
      </c>
    </row>
    <row r="32" spans="1:49" s="14" customFormat="1" ht="9" x14ac:dyDescent="0.15">
      <c r="A32" s="11" t="s">
        <v>46</v>
      </c>
      <c r="B32" s="20">
        <f>B9+B13+B16+B20+B23+B31</f>
        <v>27834</v>
      </c>
      <c r="C32" s="20">
        <f t="shared" ref="C32:N32" si="8">(C9+C13+C16+C20+C23+C31)</f>
        <v>20620.989999999998</v>
      </c>
      <c r="D32" s="20">
        <f t="shared" si="8"/>
        <v>541</v>
      </c>
      <c r="E32" s="20">
        <f t="shared" si="8"/>
        <v>1667.07</v>
      </c>
      <c r="F32" s="20">
        <f t="shared" si="8"/>
        <v>2020</v>
      </c>
      <c r="G32" s="20">
        <f t="shared" si="8"/>
        <v>5733.5</v>
      </c>
      <c r="H32" s="20">
        <f t="shared" si="8"/>
        <v>2368</v>
      </c>
      <c r="I32" s="20">
        <f t="shared" si="8"/>
        <v>11880.52</v>
      </c>
      <c r="J32" s="20">
        <f t="shared" si="8"/>
        <v>2389</v>
      </c>
      <c r="K32" s="20">
        <f t="shared" si="8"/>
        <v>6846</v>
      </c>
      <c r="L32" s="20">
        <f t="shared" si="8"/>
        <v>0</v>
      </c>
      <c r="M32" s="20">
        <f t="shared" si="8"/>
        <v>0</v>
      </c>
      <c r="N32" s="20">
        <f t="shared" si="8"/>
        <v>0</v>
      </c>
      <c r="O32" s="20">
        <f>SUM(C32:N32)</f>
        <v>54066.080000000002</v>
      </c>
      <c r="P32" s="13">
        <v>39512.850000000006</v>
      </c>
    </row>
    <row r="33" spans="1:17" s="7" customFormat="1" ht="8.1" customHeight="1" x14ac:dyDescent="0.15">
      <c r="P33" s="8"/>
    </row>
    <row r="34" spans="1:17" s="30" customFormat="1" ht="9.75" customHeight="1" x14ac:dyDescent="0.25">
      <c r="A34" s="71" t="s">
        <v>97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7" s="30" customFormat="1" ht="9" x14ac:dyDescent="0.15">
      <c r="A35" s="72"/>
      <c r="B35" s="60" t="s">
        <v>2</v>
      </c>
      <c r="C35" s="12" t="s">
        <v>91</v>
      </c>
      <c r="D35" s="12" t="s">
        <v>90</v>
      </c>
      <c r="E35" s="12" t="s">
        <v>89</v>
      </c>
      <c r="F35" s="12" t="s">
        <v>88</v>
      </c>
      <c r="G35" s="12" t="s">
        <v>87</v>
      </c>
      <c r="H35" s="12" t="s">
        <v>86</v>
      </c>
      <c r="I35" s="12" t="s">
        <v>85</v>
      </c>
      <c r="J35" s="12" t="s">
        <v>84</v>
      </c>
      <c r="K35" s="12" t="s">
        <v>83</v>
      </c>
      <c r="L35" s="12" t="s">
        <v>82</v>
      </c>
      <c r="M35" s="12" t="s">
        <v>81</v>
      </c>
      <c r="N35" s="12" t="s">
        <v>80</v>
      </c>
      <c r="O35" s="60" t="s">
        <v>3</v>
      </c>
    </row>
    <row r="36" spans="1:17" s="30" customFormat="1" ht="9" x14ac:dyDescent="0.25">
      <c r="A36" s="31" t="s">
        <v>36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 t="s">
        <v>4</v>
      </c>
    </row>
    <row r="37" spans="1:17" s="30" customFormat="1" ht="9" x14ac:dyDescent="0.25">
      <c r="A37" s="34" t="s">
        <v>15</v>
      </c>
      <c r="B37" s="19">
        <v>8058.82</v>
      </c>
      <c r="C37" s="19">
        <v>658.59</v>
      </c>
      <c r="D37" s="19">
        <v>658.6</v>
      </c>
      <c r="E37" s="19">
        <v>658.59</v>
      </c>
      <c r="F37" s="19">
        <v>658.59</v>
      </c>
      <c r="G37" s="19">
        <v>658.99</v>
      </c>
      <c r="H37" s="19">
        <v>658.59</v>
      </c>
      <c r="I37" s="19">
        <v>658.59</v>
      </c>
      <c r="J37" s="19">
        <v>658.59</v>
      </c>
      <c r="K37" s="19">
        <v>658.59</v>
      </c>
      <c r="L37" s="19">
        <v>0</v>
      </c>
      <c r="M37" s="19">
        <v>0</v>
      </c>
      <c r="N37" s="19">
        <v>0</v>
      </c>
      <c r="O37" s="19">
        <f t="shared" ref="O37:O42" si="9">+(C37+D37+E37+F37+G37+H37+I37+J37+K37+L37+M37+N37)</f>
        <v>5927.7200000000012</v>
      </c>
      <c r="P37" s="35" t="s">
        <v>4</v>
      </c>
    </row>
    <row r="38" spans="1:17" s="30" customFormat="1" ht="9" x14ac:dyDescent="0.25">
      <c r="A38" s="34" t="s">
        <v>16</v>
      </c>
      <c r="B38" s="19">
        <v>3305.17</v>
      </c>
      <c r="C38" s="19">
        <v>270.02999999999997</v>
      </c>
      <c r="D38" s="19">
        <v>270.74</v>
      </c>
      <c r="E38" s="19">
        <v>270.74</v>
      </c>
      <c r="F38" s="19">
        <v>270.74</v>
      </c>
      <c r="G38" s="19">
        <v>270.74</v>
      </c>
      <c r="H38" s="19">
        <v>270.74</v>
      </c>
      <c r="I38" s="19">
        <v>270.74</v>
      </c>
      <c r="J38" s="19">
        <v>270.74</v>
      </c>
      <c r="K38" s="19">
        <v>270.74</v>
      </c>
      <c r="L38" s="19">
        <v>0</v>
      </c>
      <c r="M38" s="19">
        <v>0</v>
      </c>
      <c r="N38" s="19">
        <v>0</v>
      </c>
      <c r="O38" s="19">
        <f t="shared" si="9"/>
        <v>2435.9499999999998</v>
      </c>
    </row>
    <row r="39" spans="1:17" s="30" customFormat="1" ht="9" hidden="1" x14ac:dyDescent="0.25">
      <c r="A39" s="34" t="s">
        <v>75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9"/>
        <v>0</v>
      </c>
    </row>
    <row r="40" spans="1:17" s="30" customFormat="1" ht="9" x14ac:dyDescent="0.25">
      <c r="A40" s="34" t="s">
        <v>17</v>
      </c>
      <c r="B40" s="19">
        <v>578.95000000000005</v>
      </c>
      <c r="C40" s="19">
        <v>43.86</v>
      </c>
      <c r="D40" s="19">
        <v>43.86</v>
      </c>
      <c r="E40" s="19">
        <v>43.86</v>
      </c>
      <c r="F40" s="19">
        <v>62.01</v>
      </c>
      <c r="G40" s="19">
        <v>43.86</v>
      </c>
      <c r="H40" s="19">
        <v>43.86</v>
      </c>
      <c r="I40" s="19">
        <v>43.86</v>
      </c>
      <c r="J40" s="19">
        <v>43.86</v>
      </c>
      <c r="K40" s="19">
        <v>43.86</v>
      </c>
      <c r="L40" s="19">
        <v>0</v>
      </c>
      <c r="M40" s="19">
        <v>0</v>
      </c>
      <c r="N40" s="19">
        <v>0</v>
      </c>
      <c r="O40" s="19">
        <f t="shared" si="9"/>
        <v>412.89000000000004</v>
      </c>
    </row>
    <row r="41" spans="1:17" s="30" customFormat="1" ht="9" hidden="1" x14ac:dyDescent="0.25">
      <c r="A41" s="34" t="s">
        <v>53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f t="shared" si="9"/>
        <v>0</v>
      </c>
    </row>
    <row r="42" spans="1:17" s="30" customFormat="1" ht="9" x14ac:dyDescent="0.25">
      <c r="A42" s="34" t="s">
        <v>78</v>
      </c>
      <c r="B42" s="19">
        <v>389.44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197.9</v>
      </c>
      <c r="I42" s="19">
        <v>197.9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f t="shared" si="9"/>
        <v>395.8</v>
      </c>
    </row>
    <row r="43" spans="1:17" s="30" customFormat="1" ht="9" x14ac:dyDescent="0.25">
      <c r="A43" s="31" t="s">
        <v>44</v>
      </c>
      <c r="B43" s="24">
        <f>SUM(B37:B42)</f>
        <v>12332.380000000001</v>
      </c>
      <c r="C43" s="24">
        <f t="shared" ref="C43:O43" si="10">SUM(C37:C42)</f>
        <v>972.48</v>
      </c>
      <c r="D43" s="24">
        <f t="shared" si="10"/>
        <v>973.2</v>
      </c>
      <c r="E43" s="24">
        <f t="shared" si="10"/>
        <v>973.19</v>
      </c>
      <c r="F43" s="24">
        <f t="shared" si="10"/>
        <v>991.34</v>
      </c>
      <c r="G43" s="24">
        <f t="shared" si="10"/>
        <v>973.59</v>
      </c>
      <c r="H43" s="24">
        <f t="shared" si="10"/>
        <v>1171.0900000000001</v>
      </c>
      <c r="I43" s="24">
        <f>SUM(I37:I42)</f>
        <v>1171.0900000000001</v>
      </c>
      <c r="J43" s="24">
        <f t="shared" si="10"/>
        <v>973.19</v>
      </c>
      <c r="K43" s="24">
        <f t="shared" si="10"/>
        <v>973.19</v>
      </c>
      <c r="L43" s="24">
        <f t="shared" si="10"/>
        <v>0</v>
      </c>
      <c r="M43" s="24">
        <f t="shared" si="10"/>
        <v>0</v>
      </c>
      <c r="N43" s="24">
        <f t="shared" si="10"/>
        <v>0</v>
      </c>
      <c r="O43" s="24">
        <f t="shared" si="10"/>
        <v>9172.36</v>
      </c>
      <c r="Q43" s="36"/>
    </row>
    <row r="44" spans="1:17" s="30" customFormat="1" ht="9" x14ac:dyDescent="0.25">
      <c r="A44" s="31" t="s">
        <v>37</v>
      </c>
      <c r="B44" s="37"/>
      <c r="C44" s="33"/>
      <c r="D44" s="38"/>
      <c r="E44" s="38"/>
      <c r="F44" s="38"/>
      <c r="G44" s="38"/>
      <c r="H44" s="38"/>
      <c r="I44" s="38"/>
      <c r="J44" s="38"/>
      <c r="K44" s="33"/>
      <c r="L44" s="33"/>
      <c r="M44" s="33"/>
      <c r="N44" s="33"/>
      <c r="O44" s="33"/>
    </row>
    <row r="45" spans="1:17" s="30" customFormat="1" ht="9" x14ac:dyDescent="0.25">
      <c r="A45" s="34" t="s">
        <v>54</v>
      </c>
      <c r="B45" s="19">
        <v>682.43999999999994</v>
      </c>
      <c r="C45" s="19">
        <v>56.87</v>
      </c>
      <c r="D45" s="19">
        <v>56.87</v>
      </c>
      <c r="E45" s="19">
        <v>56.87</v>
      </c>
      <c r="F45" s="19">
        <v>0</v>
      </c>
      <c r="G45" s="19">
        <v>56.87</v>
      </c>
      <c r="H45" s="19">
        <v>56.87</v>
      </c>
      <c r="I45" s="19">
        <v>56.57</v>
      </c>
      <c r="J45" s="19">
        <v>0</v>
      </c>
      <c r="K45" s="19">
        <v>56.87</v>
      </c>
      <c r="L45" s="19">
        <v>0</v>
      </c>
      <c r="M45" s="19">
        <v>0</v>
      </c>
      <c r="N45" s="19">
        <v>0</v>
      </c>
      <c r="O45" s="19">
        <f t="shared" ref="O45:O48" si="11">+(C45+D45+E45+F45+G45+H45+I45+J45+K45+L45+M45+N45)</f>
        <v>397.78999999999996</v>
      </c>
    </row>
    <row r="46" spans="1:17" s="30" customFormat="1" ht="9" x14ac:dyDescent="0.25">
      <c r="A46" s="34" t="s">
        <v>52</v>
      </c>
      <c r="B46" s="19">
        <v>250</v>
      </c>
      <c r="C46" s="19">
        <v>16.45</v>
      </c>
      <c r="D46" s="19">
        <v>16.3</v>
      </c>
      <c r="E46" s="19">
        <v>16.170000000000002</v>
      </c>
      <c r="F46" s="19">
        <v>15.05</v>
      </c>
      <c r="G46" s="19">
        <v>15.46</v>
      </c>
      <c r="H46" s="19">
        <v>17.05</v>
      </c>
      <c r="I46" s="19">
        <v>24.19</v>
      </c>
      <c r="J46" s="19">
        <v>43.45</v>
      </c>
      <c r="K46" s="19">
        <v>20.350000000000001</v>
      </c>
      <c r="L46" s="19">
        <v>0</v>
      </c>
      <c r="M46" s="19">
        <v>0</v>
      </c>
      <c r="N46" s="19">
        <v>0</v>
      </c>
      <c r="O46" s="19">
        <f t="shared" si="11"/>
        <v>184.47</v>
      </c>
    </row>
    <row r="47" spans="1:17" s="30" customFormat="1" ht="9" x14ac:dyDescent="0.25">
      <c r="A47" s="34" t="s">
        <v>55</v>
      </c>
      <c r="B47" s="19">
        <v>471.22</v>
      </c>
      <c r="C47" s="19">
        <v>61.04</v>
      </c>
      <c r="D47" s="19">
        <v>50.6</v>
      </c>
      <c r="E47" s="19">
        <v>29.42</v>
      </c>
      <c r="F47" s="19">
        <v>38</v>
      </c>
      <c r="G47" s="19">
        <v>38</v>
      </c>
      <c r="H47" s="19">
        <v>38</v>
      </c>
      <c r="I47" s="19">
        <v>38</v>
      </c>
      <c r="J47" s="19">
        <v>38</v>
      </c>
      <c r="K47" s="19">
        <v>38</v>
      </c>
      <c r="L47" s="19">
        <v>0</v>
      </c>
      <c r="M47" s="19">
        <v>0</v>
      </c>
      <c r="N47" s="19">
        <v>0</v>
      </c>
      <c r="O47" s="19">
        <f t="shared" si="11"/>
        <v>369.06</v>
      </c>
    </row>
    <row r="48" spans="1:17" s="30" customFormat="1" ht="9" x14ac:dyDescent="0.25">
      <c r="A48" s="34" t="s">
        <v>18</v>
      </c>
      <c r="B48" s="19">
        <v>879.96</v>
      </c>
      <c r="C48" s="19">
        <v>96.85</v>
      </c>
      <c r="D48" s="19">
        <v>49.81</v>
      </c>
      <c r="E48" s="19">
        <v>104.66</v>
      </c>
      <c r="F48" s="19">
        <v>49.81</v>
      </c>
      <c r="G48" s="19">
        <v>49.81</v>
      </c>
      <c r="H48" s="19">
        <v>49.81</v>
      </c>
      <c r="I48" s="19">
        <v>49.81</v>
      </c>
      <c r="J48" s="19">
        <v>49.81</v>
      </c>
      <c r="K48" s="19">
        <v>49.81</v>
      </c>
      <c r="L48" s="19">
        <v>0</v>
      </c>
      <c r="M48" s="19">
        <v>0</v>
      </c>
      <c r="N48" s="19">
        <v>0</v>
      </c>
      <c r="O48" s="19">
        <f t="shared" si="11"/>
        <v>550.18000000000006</v>
      </c>
    </row>
    <row r="49" spans="1:15" s="30" customFormat="1" ht="9" x14ac:dyDescent="0.25">
      <c r="A49" s="34" t="s">
        <v>98</v>
      </c>
      <c r="B49" s="19">
        <v>538</v>
      </c>
      <c r="C49" s="19">
        <v>0</v>
      </c>
      <c r="D49" s="19">
        <v>0</v>
      </c>
      <c r="E49" s="19">
        <v>31.02</v>
      </c>
      <c r="F49" s="19">
        <v>6.05</v>
      </c>
      <c r="G49" s="19">
        <f>12.1+24.2</f>
        <v>36.299999999999997</v>
      </c>
      <c r="H49" s="19">
        <v>24.2</v>
      </c>
      <c r="I49" s="19">
        <v>24.2</v>
      </c>
      <c r="J49" s="19">
        <v>24.2</v>
      </c>
      <c r="K49" s="19">
        <v>24.2</v>
      </c>
      <c r="L49" s="19">
        <v>0</v>
      </c>
      <c r="M49" s="19">
        <v>0</v>
      </c>
      <c r="N49" s="19">
        <v>0</v>
      </c>
      <c r="O49" s="19">
        <f>SUM(C49:N49)</f>
        <v>170.17</v>
      </c>
    </row>
    <row r="50" spans="1:15" s="30" customFormat="1" ht="9" x14ac:dyDescent="0.25">
      <c r="A50" s="31" t="s">
        <v>44</v>
      </c>
      <c r="B50" s="24">
        <f t="shared" ref="B50:O50" si="12">SUM(B45:B49)</f>
        <v>2821.62</v>
      </c>
      <c r="C50" s="24">
        <f t="shared" si="12"/>
        <v>231.20999999999998</v>
      </c>
      <c r="D50" s="24">
        <f t="shared" si="12"/>
        <v>173.58</v>
      </c>
      <c r="E50" s="24">
        <f t="shared" si="12"/>
        <v>238.14000000000001</v>
      </c>
      <c r="F50" s="24">
        <f t="shared" si="12"/>
        <v>108.91</v>
      </c>
      <c r="G50" s="24">
        <f t="shared" si="12"/>
        <v>196.44</v>
      </c>
      <c r="H50" s="24">
        <f t="shared" si="12"/>
        <v>185.93</v>
      </c>
      <c r="I50" s="24">
        <f t="shared" si="12"/>
        <v>192.76999999999998</v>
      </c>
      <c r="J50" s="24">
        <f t="shared" si="12"/>
        <v>155.45999999999998</v>
      </c>
      <c r="K50" s="24">
        <f t="shared" si="12"/>
        <v>189.23</v>
      </c>
      <c r="L50" s="24">
        <f t="shared" si="12"/>
        <v>0</v>
      </c>
      <c r="M50" s="24">
        <f t="shared" si="12"/>
        <v>0</v>
      </c>
      <c r="N50" s="24">
        <f t="shared" si="12"/>
        <v>0</v>
      </c>
      <c r="O50" s="24">
        <f t="shared" si="12"/>
        <v>1671.67</v>
      </c>
    </row>
    <row r="51" spans="1:15" s="30" customFormat="1" ht="9" x14ac:dyDescent="0.25">
      <c r="A51" s="31" t="s">
        <v>38</v>
      </c>
      <c r="B51" s="37" t="s">
        <v>4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s="30" customFormat="1" ht="9" x14ac:dyDescent="0.25">
      <c r="A52" s="34" t="s">
        <v>67</v>
      </c>
      <c r="B52" s="19">
        <v>1000</v>
      </c>
      <c r="C52" s="19">
        <v>0</v>
      </c>
      <c r="D52" s="19">
        <v>0</v>
      </c>
      <c r="E52" s="19">
        <v>0</v>
      </c>
      <c r="F52" s="19">
        <v>0</v>
      </c>
      <c r="G52" s="19">
        <v>166</v>
      </c>
      <c r="H52" s="19">
        <v>1178.5999999999999</v>
      </c>
      <c r="I52" s="19">
        <v>0</v>
      </c>
      <c r="J52" s="19">
        <v>0</v>
      </c>
      <c r="K52" s="19">
        <v>3320</v>
      </c>
      <c r="L52" s="19">
        <v>0</v>
      </c>
      <c r="M52" s="19">
        <v>0</v>
      </c>
      <c r="N52" s="19">
        <v>0</v>
      </c>
      <c r="O52" s="19">
        <v>0</v>
      </c>
    </row>
    <row r="53" spans="1:15" s="30" customFormat="1" ht="9" x14ac:dyDescent="0.25">
      <c r="A53" s="34" t="s">
        <v>266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275.39999999999998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</row>
    <row r="54" spans="1:15" s="30" customFormat="1" ht="9" x14ac:dyDescent="0.25">
      <c r="A54" s="34" t="s">
        <v>267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800</v>
      </c>
      <c r="L54" s="19">
        <v>0</v>
      </c>
      <c r="M54" s="19">
        <v>0</v>
      </c>
      <c r="N54" s="19">
        <v>0</v>
      </c>
      <c r="O54" s="19">
        <v>0</v>
      </c>
    </row>
    <row r="55" spans="1:15" s="30" customFormat="1" ht="9" x14ac:dyDescent="0.25">
      <c r="A55" s="31" t="s">
        <v>44</v>
      </c>
      <c r="B55" s="24">
        <f>SUM(B52:B54)</f>
        <v>1000</v>
      </c>
      <c r="C55" s="24">
        <f>SUM(C52:C54)</f>
        <v>0</v>
      </c>
      <c r="D55" s="24">
        <f t="shared" ref="D55:J55" si="13">SUM(D52:D54)</f>
        <v>0</v>
      </c>
      <c r="E55" s="24">
        <f t="shared" si="13"/>
        <v>0</v>
      </c>
      <c r="F55" s="24">
        <f t="shared" si="13"/>
        <v>0</v>
      </c>
      <c r="G55" s="24">
        <f t="shared" si="13"/>
        <v>166</v>
      </c>
      <c r="H55" s="24">
        <f t="shared" si="13"/>
        <v>1178.5999999999999</v>
      </c>
      <c r="I55" s="24">
        <f t="shared" si="13"/>
        <v>275.39999999999998</v>
      </c>
      <c r="J55" s="24">
        <f t="shared" si="13"/>
        <v>0</v>
      </c>
      <c r="K55" s="24">
        <f t="shared" ref="K55" si="14">SUM(K52:K54)</f>
        <v>4120</v>
      </c>
      <c r="L55" s="24">
        <f t="shared" ref="L55" si="15">SUM(L52:L54)</f>
        <v>0</v>
      </c>
      <c r="M55" s="24">
        <f t="shared" ref="M55" si="16">SUM(M52:M54)</f>
        <v>0</v>
      </c>
      <c r="N55" s="24">
        <f t="shared" ref="N55" si="17">SUM(N52:N54)</f>
        <v>0</v>
      </c>
      <c r="O55" s="24">
        <f t="shared" ref="O55" si="18">SUM(O52:O54)</f>
        <v>0</v>
      </c>
    </row>
    <row r="56" spans="1:15" s="30" customFormat="1" ht="9" x14ac:dyDescent="0.25">
      <c r="A56" s="31" t="s">
        <v>39</v>
      </c>
      <c r="B56" s="3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 t="s">
        <v>4</v>
      </c>
    </row>
    <row r="57" spans="1:15" s="30" customFormat="1" ht="9" hidden="1" x14ac:dyDescent="0.25">
      <c r="A57" s="34" t="s">
        <v>19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f t="shared" ref="O57:O62" si="19">+(C57+D57+E57+F57+G57+H57+I57+J57+K57+L57+M57+N57)</f>
        <v>0</v>
      </c>
    </row>
    <row r="58" spans="1:15" s="30" customFormat="1" ht="9" x14ac:dyDescent="0.25">
      <c r="A58" s="34" t="s">
        <v>49</v>
      </c>
      <c r="B58" s="19">
        <v>200</v>
      </c>
      <c r="C58" s="19">
        <v>0</v>
      </c>
      <c r="D58" s="19">
        <v>0</v>
      </c>
      <c r="E58" s="19">
        <v>13.2</v>
      </c>
      <c r="F58" s="19">
        <v>0</v>
      </c>
      <c r="G58" s="19">
        <v>0</v>
      </c>
      <c r="H58" s="19">
        <v>15.7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 t="shared" si="19"/>
        <v>28.9</v>
      </c>
    </row>
    <row r="59" spans="1:15" s="30" customFormat="1" ht="9" hidden="1" x14ac:dyDescent="0.25">
      <c r="A59" s="34" t="s">
        <v>20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f t="shared" si="19"/>
        <v>0</v>
      </c>
    </row>
    <row r="60" spans="1:15" s="30" customFormat="1" ht="9" hidden="1" x14ac:dyDescent="0.25">
      <c r="A60" s="34" t="s">
        <v>68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f t="shared" si="19"/>
        <v>0</v>
      </c>
    </row>
    <row r="61" spans="1:15" s="30" customFormat="1" ht="9" hidden="1" x14ac:dyDescent="0.25">
      <c r="A61" s="34" t="s">
        <v>21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f t="shared" si="19"/>
        <v>0</v>
      </c>
    </row>
    <row r="62" spans="1:15" s="30" customFormat="1" ht="9" hidden="1" x14ac:dyDescent="0.25">
      <c r="A62" s="34" t="s">
        <v>22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f t="shared" si="19"/>
        <v>0</v>
      </c>
    </row>
    <row r="63" spans="1:15" s="30" customFormat="1" ht="9" x14ac:dyDescent="0.25">
      <c r="A63" s="31" t="s">
        <v>44</v>
      </c>
      <c r="B63" s="24">
        <f>SUM(B57:B62)</f>
        <v>200</v>
      </c>
      <c r="C63" s="24">
        <f>(C57+C58+C59+C60+C61+C62)</f>
        <v>0</v>
      </c>
      <c r="D63" s="24">
        <f>(D57+D58+D59+D60+D61+D62)</f>
        <v>0</v>
      </c>
      <c r="E63" s="24">
        <f>(E57+E58+E59+E60+E61+E62)</f>
        <v>13.2</v>
      </c>
      <c r="F63" s="24">
        <f>(F57+F58+F59+F60+F61+F62)</f>
        <v>0</v>
      </c>
      <c r="G63" s="24">
        <f t="shared" ref="G63:O63" si="20">(G57+G58+G59+G60+G61+G62)</f>
        <v>0</v>
      </c>
      <c r="H63" s="24">
        <f t="shared" si="20"/>
        <v>15.7</v>
      </c>
      <c r="I63" s="24">
        <f t="shared" si="20"/>
        <v>0</v>
      </c>
      <c r="J63" s="24">
        <f t="shared" si="20"/>
        <v>0</v>
      </c>
      <c r="K63" s="24">
        <f t="shared" si="20"/>
        <v>0</v>
      </c>
      <c r="L63" s="24">
        <f t="shared" si="20"/>
        <v>0</v>
      </c>
      <c r="M63" s="24">
        <f t="shared" si="20"/>
        <v>0</v>
      </c>
      <c r="N63" s="24">
        <f t="shared" si="20"/>
        <v>0</v>
      </c>
      <c r="O63" s="24">
        <f t="shared" si="20"/>
        <v>28.9</v>
      </c>
    </row>
    <row r="64" spans="1:15" s="30" customFormat="1" ht="9" hidden="1" x14ac:dyDescent="0.25">
      <c r="A64" s="31" t="s">
        <v>40</v>
      </c>
      <c r="B64" s="37"/>
      <c r="C64" s="33"/>
      <c r="D64" s="38"/>
      <c r="E64" s="38"/>
      <c r="F64" s="38" t="s">
        <v>4</v>
      </c>
      <c r="G64" s="38"/>
      <c r="H64" s="38"/>
      <c r="I64" s="38"/>
      <c r="J64" s="38"/>
      <c r="K64" s="38"/>
      <c r="L64" s="38"/>
      <c r="M64" s="38"/>
      <c r="N64" s="38"/>
      <c r="O64" s="38"/>
    </row>
    <row r="65" spans="1:15" s="30" customFormat="1" ht="9" hidden="1" x14ac:dyDescent="0.25">
      <c r="A65" s="34" t="s">
        <v>69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f t="shared" ref="O65:O68" si="21">+(C65+D65+E65+F65+G65+H65+I65+J65+K65+L65+M65+N65)</f>
        <v>0</v>
      </c>
    </row>
    <row r="66" spans="1:15" s="30" customFormat="1" ht="9" hidden="1" x14ac:dyDescent="0.25">
      <c r="A66" s="34" t="s">
        <v>23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f t="shared" si="21"/>
        <v>0</v>
      </c>
    </row>
    <row r="67" spans="1:15" s="30" customFormat="1" ht="9" hidden="1" x14ac:dyDescent="0.25">
      <c r="A67" s="34" t="s">
        <v>24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f t="shared" si="21"/>
        <v>0</v>
      </c>
    </row>
    <row r="68" spans="1:15" s="30" customFormat="1" ht="9" hidden="1" x14ac:dyDescent="0.25">
      <c r="A68" s="34" t="s">
        <v>25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f t="shared" si="21"/>
        <v>0</v>
      </c>
    </row>
    <row r="69" spans="1:15" s="30" customFormat="1" ht="9" hidden="1" x14ac:dyDescent="0.25">
      <c r="A69" s="31" t="s">
        <v>44</v>
      </c>
      <c r="B69" s="24">
        <f>+(B65+B66+B67+B68)</f>
        <v>0</v>
      </c>
      <c r="C69" s="24">
        <f>+(C65+C66+C67+C68)</f>
        <v>0</v>
      </c>
      <c r="D69" s="39">
        <f t="shared" ref="D69:N69" si="22">(D65+D66+D67+D68)</f>
        <v>0</v>
      </c>
      <c r="E69" s="40">
        <f t="shared" si="22"/>
        <v>0</v>
      </c>
      <c r="F69" s="40">
        <f t="shared" si="22"/>
        <v>0</v>
      </c>
      <c r="G69" s="40">
        <f t="shared" si="22"/>
        <v>0</v>
      </c>
      <c r="H69" s="40">
        <f t="shared" si="22"/>
        <v>0</v>
      </c>
      <c r="I69" s="39">
        <f t="shared" si="22"/>
        <v>0</v>
      </c>
      <c r="J69" s="40">
        <f t="shared" si="22"/>
        <v>0</v>
      </c>
      <c r="K69" s="40">
        <f t="shared" si="22"/>
        <v>0</v>
      </c>
      <c r="L69" s="40">
        <f t="shared" si="22"/>
        <v>0</v>
      </c>
      <c r="M69" s="40">
        <f t="shared" si="22"/>
        <v>0</v>
      </c>
      <c r="N69" s="39">
        <f t="shared" si="22"/>
        <v>0</v>
      </c>
      <c r="O69" s="24">
        <f>+(O65+O66+O67+O68)</f>
        <v>0</v>
      </c>
    </row>
    <row r="70" spans="1:15" s="30" customFormat="1" ht="9" x14ac:dyDescent="0.25">
      <c r="A70" s="31" t="s">
        <v>43</v>
      </c>
      <c r="B70" s="37"/>
      <c r="C70" s="33"/>
      <c r="D70" s="38"/>
      <c r="E70" s="38"/>
      <c r="F70" s="38" t="s">
        <v>4</v>
      </c>
      <c r="G70" s="38"/>
      <c r="H70" s="38"/>
      <c r="I70" s="38"/>
      <c r="J70" s="38"/>
      <c r="K70" s="38"/>
      <c r="L70" s="38"/>
      <c r="M70" s="38"/>
      <c r="N70" s="38"/>
      <c r="O70" s="38" t="s">
        <v>4</v>
      </c>
    </row>
    <row r="71" spans="1:15" s="30" customFormat="1" ht="9" hidden="1" x14ac:dyDescent="0.25">
      <c r="A71" s="34" t="s">
        <v>26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f t="shared" ref="O71:O72" si="23">+(C71+D71+E71+F71+G71+H71+I71+J71+K71+L71+M71+N71)</f>
        <v>0</v>
      </c>
    </row>
    <row r="72" spans="1:15" s="30" customFormat="1" ht="9" x14ac:dyDescent="0.25">
      <c r="A72" s="34" t="s">
        <v>45</v>
      </c>
      <c r="B72" s="19">
        <v>300</v>
      </c>
      <c r="C72" s="19">
        <v>0</v>
      </c>
      <c r="D72" s="19">
        <v>0</v>
      </c>
      <c r="E72" s="19">
        <v>0</v>
      </c>
      <c r="F72" s="19">
        <v>0</v>
      </c>
      <c r="G72" s="19">
        <v>137.25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f t="shared" si="23"/>
        <v>137.25</v>
      </c>
    </row>
    <row r="73" spans="1:15" s="30" customFormat="1" ht="9" x14ac:dyDescent="0.25">
      <c r="A73" s="31" t="s">
        <v>44</v>
      </c>
      <c r="B73" s="24">
        <f>+(B71+B72)</f>
        <v>300</v>
      </c>
      <c r="C73" s="24">
        <f t="shared" ref="C73:O73" si="24">+(C71+C72)</f>
        <v>0</v>
      </c>
      <c r="D73" s="24">
        <f t="shared" si="24"/>
        <v>0</v>
      </c>
      <c r="E73" s="24">
        <f t="shared" si="24"/>
        <v>0</v>
      </c>
      <c r="F73" s="24">
        <f t="shared" si="24"/>
        <v>0</v>
      </c>
      <c r="G73" s="24">
        <f t="shared" si="24"/>
        <v>137.25</v>
      </c>
      <c r="H73" s="24">
        <f t="shared" si="24"/>
        <v>0</v>
      </c>
      <c r="I73" s="24">
        <f t="shared" si="24"/>
        <v>0</v>
      </c>
      <c r="J73" s="24">
        <f t="shared" si="24"/>
        <v>0</v>
      </c>
      <c r="K73" s="24">
        <f t="shared" si="24"/>
        <v>0</v>
      </c>
      <c r="L73" s="24">
        <f t="shared" si="24"/>
        <v>0</v>
      </c>
      <c r="M73" s="24">
        <f t="shared" si="24"/>
        <v>0</v>
      </c>
      <c r="N73" s="24">
        <f t="shared" si="24"/>
        <v>0</v>
      </c>
      <c r="O73" s="24">
        <f t="shared" si="24"/>
        <v>137.25</v>
      </c>
    </row>
    <row r="74" spans="1:15" s="30" customFormat="1" ht="9" x14ac:dyDescent="0.25">
      <c r="A74" s="31" t="s">
        <v>41</v>
      </c>
      <c r="B74" s="41" t="s">
        <v>4</v>
      </c>
      <c r="C74" s="42"/>
      <c r="D74" s="38"/>
      <c r="E74" s="41"/>
      <c r="F74" s="38" t="s">
        <v>4</v>
      </c>
      <c r="G74" s="38"/>
      <c r="H74" s="38"/>
      <c r="I74" s="38"/>
      <c r="J74" s="38"/>
      <c r="K74" s="38"/>
      <c r="L74" s="38"/>
      <c r="M74" s="38"/>
      <c r="N74" s="38"/>
      <c r="O74" s="38"/>
    </row>
    <row r="75" spans="1:15" s="30" customFormat="1" ht="9" x14ac:dyDescent="0.25">
      <c r="A75" s="34" t="s">
        <v>27</v>
      </c>
      <c r="B75" s="19">
        <v>1200</v>
      </c>
      <c r="C75" s="19">
        <v>0</v>
      </c>
      <c r="D75" s="19">
        <v>0</v>
      </c>
      <c r="E75" s="19">
        <v>0</v>
      </c>
      <c r="F75" s="19">
        <v>619.20000000000005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f t="shared" ref="O75:O80" si="25">+(C75+D75+E75+F75+G75+H75+I75+J75+K75+L75+M75+N75)</f>
        <v>619.20000000000005</v>
      </c>
    </row>
    <row r="76" spans="1:15" s="30" customFormat="1" ht="9" hidden="1" x14ac:dyDescent="0.25">
      <c r="A76" s="34" t="s">
        <v>28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f t="shared" si="25"/>
        <v>0</v>
      </c>
    </row>
    <row r="77" spans="1:15" s="30" customFormat="1" ht="9" hidden="1" x14ac:dyDescent="0.25">
      <c r="A77" s="34" t="s">
        <v>29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f t="shared" si="25"/>
        <v>0</v>
      </c>
    </row>
    <row r="78" spans="1:15" s="30" customFormat="1" ht="9" hidden="1" x14ac:dyDescent="0.25">
      <c r="A78" s="34" t="s">
        <v>30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f t="shared" si="25"/>
        <v>0</v>
      </c>
    </row>
    <row r="79" spans="1:15" s="30" customFormat="1" ht="9" x14ac:dyDescent="0.25">
      <c r="A79" s="34" t="s">
        <v>70</v>
      </c>
      <c r="B79" s="19">
        <v>300</v>
      </c>
      <c r="C79" s="19">
        <v>0</v>
      </c>
      <c r="D79" s="19">
        <v>0</v>
      </c>
      <c r="E79" s="19">
        <v>1.95</v>
      </c>
      <c r="F79" s="19">
        <v>0</v>
      </c>
      <c r="G79" s="19">
        <v>276.86</v>
      </c>
      <c r="H79" s="19">
        <v>0</v>
      </c>
      <c r="I79" s="19">
        <v>10.92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f t="shared" si="25"/>
        <v>289.73</v>
      </c>
    </row>
    <row r="80" spans="1:15" s="30" customFormat="1" ht="9" x14ac:dyDescent="0.25">
      <c r="A80" s="34" t="s">
        <v>77</v>
      </c>
      <c r="B80" s="19">
        <v>380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356.95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f t="shared" si="25"/>
        <v>356.95</v>
      </c>
    </row>
    <row r="81" spans="1:17" s="30" customFormat="1" ht="9" x14ac:dyDescent="0.25">
      <c r="A81" s="31" t="s">
        <v>44</v>
      </c>
      <c r="B81" s="24">
        <f>SUM(B75:B80)</f>
        <v>1880</v>
      </c>
      <c r="C81" s="24">
        <f t="shared" ref="C81:O81" si="26">SUM(C75:C80)</f>
        <v>0</v>
      </c>
      <c r="D81" s="24">
        <f t="shared" si="26"/>
        <v>0</v>
      </c>
      <c r="E81" s="24">
        <f t="shared" si="26"/>
        <v>1.95</v>
      </c>
      <c r="F81" s="24">
        <f t="shared" si="26"/>
        <v>619.20000000000005</v>
      </c>
      <c r="G81" s="24">
        <f t="shared" si="26"/>
        <v>276.86</v>
      </c>
      <c r="H81" s="24">
        <f t="shared" si="26"/>
        <v>356.95</v>
      </c>
      <c r="I81" s="24">
        <f t="shared" si="26"/>
        <v>10.92</v>
      </c>
      <c r="J81" s="24">
        <f t="shared" si="26"/>
        <v>0</v>
      </c>
      <c r="K81" s="24">
        <f t="shared" si="26"/>
        <v>0</v>
      </c>
      <c r="L81" s="24">
        <f t="shared" si="26"/>
        <v>0</v>
      </c>
      <c r="M81" s="24">
        <f t="shared" si="26"/>
        <v>0</v>
      </c>
      <c r="N81" s="24">
        <f t="shared" si="26"/>
        <v>0</v>
      </c>
      <c r="O81" s="24">
        <f t="shared" si="26"/>
        <v>1265.8800000000001</v>
      </c>
    </row>
    <row r="82" spans="1:17" s="30" customFormat="1" ht="9" x14ac:dyDescent="0.25">
      <c r="A82" s="31" t="s">
        <v>31</v>
      </c>
      <c r="B82" s="38"/>
      <c r="C82" s="33"/>
      <c r="D82" s="38"/>
      <c r="E82" s="38" t="s">
        <v>4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7" s="30" customFormat="1" ht="9" x14ac:dyDescent="0.25">
      <c r="A83" s="34" t="s">
        <v>71</v>
      </c>
      <c r="B83" s="19">
        <v>150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f t="shared" ref="O83:O84" si="27">+(C83+D83+E83+F83+G83+H83+I83+J83+K83+L83+M83+N83)</f>
        <v>0</v>
      </c>
    </row>
    <row r="84" spans="1:17" s="30" customFormat="1" ht="9" x14ac:dyDescent="0.25">
      <c r="A84" s="34" t="s">
        <v>48</v>
      </c>
      <c r="B84" s="19">
        <v>550</v>
      </c>
      <c r="C84" s="19">
        <v>0</v>
      </c>
      <c r="D84" s="19">
        <v>0</v>
      </c>
      <c r="E84" s="19">
        <v>0</v>
      </c>
      <c r="F84" s="19">
        <v>0</v>
      </c>
      <c r="G84" s="19">
        <v>146.44</v>
      </c>
      <c r="H84" s="19">
        <v>146.44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f t="shared" si="27"/>
        <v>292.88</v>
      </c>
      <c r="Q84" s="46"/>
    </row>
    <row r="85" spans="1:17" s="30" customFormat="1" ht="9" x14ac:dyDescent="0.25">
      <c r="A85" s="31" t="s">
        <v>44</v>
      </c>
      <c r="B85" s="24">
        <f>(B83+B84)</f>
        <v>700</v>
      </c>
      <c r="C85" s="24">
        <f>(C83+C84)</f>
        <v>0</v>
      </c>
      <c r="D85" s="24">
        <f t="shared" ref="D85:O85" si="28">(D83+D84)</f>
        <v>0</v>
      </c>
      <c r="E85" s="24">
        <f t="shared" si="28"/>
        <v>0</v>
      </c>
      <c r="F85" s="24">
        <f t="shared" si="28"/>
        <v>0</v>
      </c>
      <c r="G85" s="24">
        <f t="shared" si="28"/>
        <v>146.44</v>
      </c>
      <c r="H85" s="24">
        <f t="shared" si="28"/>
        <v>146.44</v>
      </c>
      <c r="I85" s="24">
        <f t="shared" si="28"/>
        <v>0</v>
      </c>
      <c r="J85" s="24">
        <f t="shared" si="28"/>
        <v>0</v>
      </c>
      <c r="K85" s="24">
        <f t="shared" si="28"/>
        <v>0</v>
      </c>
      <c r="L85" s="24">
        <f t="shared" si="28"/>
        <v>0</v>
      </c>
      <c r="M85" s="24">
        <f t="shared" si="28"/>
        <v>0</v>
      </c>
      <c r="N85" s="24">
        <f t="shared" si="28"/>
        <v>0</v>
      </c>
      <c r="O85" s="24">
        <f t="shared" si="28"/>
        <v>292.88</v>
      </c>
    </row>
    <row r="86" spans="1:17" s="30" customFormat="1" ht="9" x14ac:dyDescent="0.25">
      <c r="A86" s="31" t="s">
        <v>42</v>
      </c>
      <c r="B86" s="37"/>
      <c r="C86" s="33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1:17" s="30" customFormat="1" ht="9" x14ac:dyDescent="0.25">
      <c r="A87" s="34" t="s">
        <v>32</v>
      </c>
      <c r="B87" s="19">
        <v>0</v>
      </c>
      <c r="C87" s="19">
        <v>908</v>
      </c>
      <c r="D87" s="19">
        <v>70</v>
      </c>
      <c r="E87" s="19">
        <v>0</v>
      </c>
      <c r="F87" s="19">
        <v>0</v>
      </c>
      <c r="G87" s="19">
        <v>0</v>
      </c>
      <c r="H87" s="19">
        <v>61.77</v>
      </c>
      <c r="I87" s="19">
        <v>630</v>
      </c>
      <c r="J87" s="19">
        <v>0</v>
      </c>
      <c r="K87" s="19">
        <v>105</v>
      </c>
      <c r="L87" s="19">
        <v>0</v>
      </c>
      <c r="M87" s="19">
        <v>0</v>
      </c>
      <c r="N87" s="19">
        <v>0</v>
      </c>
      <c r="O87" s="19">
        <f t="shared" ref="O87:O94" si="29">+(C87+D87+E87+F87+G87+H87+I87+J87+K87+L87+M87+N87)</f>
        <v>1774.77</v>
      </c>
    </row>
    <row r="88" spans="1:17" s="30" customFormat="1" ht="9" x14ac:dyDescent="0.25">
      <c r="A88" s="34" t="s">
        <v>50</v>
      </c>
      <c r="B88" s="19">
        <v>600</v>
      </c>
      <c r="C88" s="19">
        <v>162.47</v>
      </c>
      <c r="D88" s="19">
        <v>8.44</v>
      </c>
      <c r="E88" s="19">
        <v>21.74</v>
      </c>
      <c r="F88" s="19">
        <v>50.88</v>
      </c>
      <c r="G88" s="19">
        <v>43.76</v>
      </c>
      <c r="H88" s="19">
        <v>0</v>
      </c>
      <c r="I88" s="19">
        <v>231.53</v>
      </c>
      <c r="J88" s="19">
        <v>44.95</v>
      </c>
      <c r="K88" s="19">
        <v>62.27</v>
      </c>
      <c r="L88" s="19">
        <v>0</v>
      </c>
      <c r="M88" s="19">
        <v>0</v>
      </c>
      <c r="N88" s="19">
        <v>0</v>
      </c>
      <c r="O88" s="19">
        <f t="shared" si="29"/>
        <v>626.04000000000008</v>
      </c>
      <c r="P88" s="43"/>
      <c r="Q88" s="43" t="s">
        <v>4</v>
      </c>
    </row>
    <row r="89" spans="1:17" s="30" customFormat="1" ht="9" hidden="1" x14ac:dyDescent="0.25">
      <c r="A89" s="34" t="s">
        <v>33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f t="shared" si="29"/>
        <v>0</v>
      </c>
      <c r="P89" s="43" t="s">
        <v>4</v>
      </c>
      <c r="Q89" s="43" t="s">
        <v>4</v>
      </c>
    </row>
    <row r="90" spans="1:17" s="30" customFormat="1" ht="9" hidden="1" x14ac:dyDescent="0.25">
      <c r="A90" s="34" t="s">
        <v>72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f t="shared" si="29"/>
        <v>0</v>
      </c>
    </row>
    <row r="91" spans="1:17" s="30" customFormat="1" ht="9" hidden="1" x14ac:dyDescent="0.25">
      <c r="A91" s="34" t="s">
        <v>62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f t="shared" si="29"/>
        <v>0</v>
      </c>
    </row>
    <row r="92" spans="1:17" s="30" customFormat="1" ht="9" x14ac:dyDescent="0.25">
      <c r="A92" s="34" t="s">
        <v>34</v>
      </c>
      <c r="B92" s="19">
        <v>400</v>
      </c>
      <c r="C92" s="19">
        <v>19.5</v>
      </c>
      <c r="D92" s="19">
        <v>0</v>
      </c>
      <c r="E92" s="19">
        <v>45</v>
      </c>
      <c r="F92" s="19">
        <v>6.48</v>
      </c>
      <c r="G92" s="19">
        <v>363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f t="shared" si="29"/>
        <v>433.98</v>
      </c>
      <c r="P92" s="44"/>
    </row>
    <row r="93" spans="1:17" s="30" customFormat="1" ht="9" hidden="1" x14ac:dyDescent="0.25">
      <c r="A93" s="34" t="s">
        <v>35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f t="shared" si="29"/>
        <v>0</v>
      </c>
      <c r="P93" s="30" t="s">
        <v>4</v>
      </c>
    </row>
    <row r="94" spans="1:17" s="30" customFormat="1" ht="9" x14ac:dyDescent="0.25">
      <c r="A94" s="34" t="s">
        <v>73</v>
      </c>
      <c r="B94" s="19">
        <v>0</v>
      </c>
      <c r="C94" s="19">
        <v>0</v>
      </c>
      <c r="D94" s="19">
        <v>20.95</v>
      </c>
      <c r="E94" s="19">
        <v>0</v>
      </c>
      <c r="F94" s="19">
        <v>65.849999999999994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f t="shared" si="29"/>
        <v>86.8</v>
      </c>
    </row>
    <row r="95" spans="1:17" s="30" customFormat="1" ht="9" hidden="1" x14ac:dyDescent="0.25">
      <c r="A95" s="34" t="s">
        <v>74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f>+(C95+D95+E95+F95+G95+H95+I95+J95+K95+L95+M95+N95)</f>
        <v>0</v>
      </c>
    </row>
    <row r="96" spans="1:17" s="30" customFormat="1" ht="9" x14ac:dyDescent="0.25">
      <c r="A96" s="31" t="s">
        <v>44</v>
      </c>
      <c r="B96" s="24">
        <f t="shared" ref="B96:N96" si="30">(B87+B88+B89+B90+B91+B92+B93+B94+B95)</f>
        <v>1000</v>
      </c>
      <c r="C96" s="24">
        <f t="shared" si="30"/>
        <v>1089.97</v>
      </c>
      <c r="D96" s="24">
        <f t="shared" si="30"/>
        <v>99.39</v>
      </c>
      <c r="E96" s="24">
        <f t="shared" si="30"/>
        <v>66.739999999999995</v>
      </c>
      <c r="F96" s="24">
        <f t="shared" si="30"/>
        <v>123.21</v>
      </c>
      <c r="G96" s="24">
        <f t="shared" si="30"/>
        <v>406.76</v>
      </c>
      <c r="H96" s="24">
        <f t="shared" si="30"/>
        <v>61.77</v>
      </c>
      <c r="I96" s="24">
        <f t="shared" si="30"/>
        <v>861.53</v>
      </c>
      <c r="J96" s="24">
        <f t="shared" si="30"/>
        <v>44.95</v>
      </c>
      <c r="K96" s="24">
        <f t="shared" si="30"/>
        <v>167.27</v>
      </c>
      <c r="L96" s="24">
        <f t="shared" si="30"/>
        <v>0</v>
      </c>
      <c r="M96" s="24">
        <f t="shared" si="30"/>
        <v>0</v>
      </c>
      <c r="N96" s="24">
        <f t="shared" si="30"/>
        <v>0</v>
      </c>
      <c r="O96" s="24">
        <f>+(O87+O88+O89+O90+O91+O92+O93+O94+O95)</f>
        <v>2921.59</v>
      </c>
    </row>
    <row r="97" spans="1:15" s="45" customFormat="1" ht="9" x14ac:dyDescent="0.25">
      <c r="A97" s="31" t="s">
        <v>47</v>
      </c>
      <c r="B97" s="24">
        <f>(B43+B50+B55+B63+B69+B73+B81+B85+B96)</f>
        <v>20234</v>
      </c>
      <c r="C97" s="24">
        <f>(C43+C50+C55+C63+C69+C73+C81+C85+C96)</f>
        <v>2293.66</v>
      </c>
      <c r="D97" s="24">
        <f>(D43+D50+D55+D63+D69+D73+D81+D85+D96)</f>
        <v>1246.17</v>
      </c>
      <c r="E97" s="24">
        <f>(E43+E50+E55+E63+E69+E73+E81+E85+E96)</f>
        <v>1293.2200000000003</v>
      </c>
      <c r="F97" s="24">
        <f t="shared" ref="F97:N97" si="31">+(F43+F50+F55+F63+F69+F73+F81+F85+F96)</f>
        <v>1842.66</v>
      </c>
      <c r="G97" s="24">
        <f t="shared" si="31"/>
        <v>2303.34</v>
      </c>
      <c r="H97" s="24">
        <f t="shared" si="31"/>
        <v>3116.4799999999996</v>
      </c>
      <c r="I97" s="24">
        <f t="shared" si="31"/>
        <v>2511.71</v>
      </c>
      <c r="J97" s="24">
        <f t="shared" si="31"/>
        <v>1173.6000000000001</v>
      </c>
      <c r="K97" s="24">
        <f t="shared" si="31"/>
        <v>5449.6900000000005</v>
      </c>
      <c r="L97" s="24">
        <f t="shared" si="31"/>
        <v>0</v>
      </c>
      <c r="M97" s="24">
        <f t="shared" si="31"/>
        <v>0</v>
      </c>
      <c r="N97" s="24">
        <f t="shared" si="31"/>
        <v>0</v>
      </c>
      <c r="O97" s="24">
        <f>SUM(C97:N97)</f>
        <v>21230.53</v>
      </c>
    </row>
  </sheetData>
  <mergeCells count="2">
    <mergeCell ref="A34:A35"/>
    <mergeCell ref="A2:A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CDLMURCIA</dc:creator>
  <cp:lastModifiedBy>CDLMURCIA</cp:lastModifiedBy>
  <cp:lastPrinted>2024-10-01T16:44:30Z</cp:lastPrinted>
  <dcterms:created xsi:type="dcterms:W3CDTF">2018-02-15T17:22:50Z</dcterms:created>
  <dcterms:modified xsi:type="dcterms:W3CDTF">2024-11-25T17:36:33Z</dcterms:modified>
</cp:coreProperties>
</file>